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hidePivotFieldList="1" defaultThemeVersion="166925"/>
  <mc:AlternateContent xmlns:mc="http://schemas.openxmlformats.org/markup-compatibility/2006">
    <mc:Choice Requires="x15">
      <x15ac:absPath xmlns:x15ac="http://schemas.microsoft.com/office/spreadsheetml/2010/11/ac" url="https://arc001-my.sharepoint.com/personal/jsinnette_arc_gov/Documents/Documents/Shared Folder - Truck Parking Study/"/>
    </mc:Choice>
  </mc:AlternateContent>
  <xr:revisionPtr revIDLastSave="0" documentId="8_{D8B56F9A-0B02-4C2D-A780-FEA3E280F24C}" xr6:coauthVersionLast="36" xr6:coauthVersionMax="36" xr10:uidLastSave="{00000000-0000-0000-0000-000000000000}"/>
  <bookViews>
    <workbookView xWindow="4680" yWindow="2790" windowWidth="35660" windowHeight="18810" tabRatio="908" xr2:uid="{7F502488-D167-402C-8828-46CEDA68CF14}"/>
  </bookViews>
  <sheets>
    <sheet name="Overview" sheetId="31" r:id="rId1"/>
    <sheet name="A. Summary" sheetId="2" r:id="rId2"/>
    <sheet name="B. Final Calculations" sheetId="3" r:id="rId3"/>
    <sheet name="C. Sensitivity" sheetId="32" r:id="rId4"/>
    <sheet name="D. Capital Costs (User Input)" sheetId="27" r:id="rId5"/>
    <sheet name="E. O&amp;M Costs (User Input)" sheetId="28" r:id="rId6"/>
    <sheet name="F.Params&amp;Assumptions(UserInput)" sheetId="4" r:id="rId7"/>
    <sheet name="App1_Crash Summary (User Input)" sheetId="15" r:id="rId8"/>
    <sheet name="1. Safety Benefits" sheetId="6" r:id="rId9"/>
    <sheet name="2. Travel Time Savings_A" sheetId="1" r:id="rId10"/>
    <sheet name="3. Travel Time Savings_B" sheetId="10" r:id="rId11"/>
    <sheet name="4. Environmental Benefits_A" sheetId="7" r:id="rId12"/>
    <sheet name="5. Environmental Benefits_B" sheetId="13" r:id="rId13"/>
    <sheet name="6.Vehicle Operating Cost Saving" sheetId="12" r:id="rId14"/>
    <sheet name="7. State of Good Repair" sheetId="11" r:id="rId15"/>
    <sheet name="App_2_Annual Crash Reduction_A" sheetId="16" r:id="rId16"/>
    <sheet name="App_3_Annual Crash Reduction_B" sheetId="19" r:id="rId17"/>
    <sheet name="App_4_Annual Crash Benefits" sheetId="17" r:id="rId18"/>
    <sheet name="App_5_Emission Factors " sheetId="14" r:id="rId19"/>
    <sheet name="App_6_Parameters look up table" sheetId="24" r:id="rId20"/>
  </sheets>
  <definedNames>
    <definedName name="_ftn1" localSheetId="3">'C. Sensitivity'!$C$67</definedName>
    <definedName name="_ftn2" localSheetId="3">'C. Sensitivity'!$C$68</definedName>
    <definedName name="_ftnref1" localSheetId="3">'C. Sensitivity'!#REF!</definedName>
    <definedName name="_ftnref2" localSheetId="3">'C. Sensitivity'!#REF!</definedName>
    <definedName name="CO2BenefitDiscountRate" localSheetId="3">#REF!</definedName>
    <definedName name="CO2BenefitDiscountRate">'F.Params&amp;Assumptions(UserInput)'!$F$21</definedName>
    <definedName name="CO2RuralArt">'F.Params&amp;Assumptions(UserInput)'!$I$81</definedName>
    <definedName name="CO2RuralI5">'F.Params&amp;Assumptions(UserInput)'!$I$80</definedName>
    <definedName name="CO2UrbanArt">'F.Params&amp;Assumptions(UserInput)'!$I$79</definedName>
    <definedName name="CO2UrbanCorridor">'F.Params&amp;Assumptions(UserInput)'!$I$78</definedName>
    <definedName name="CO2UrbanI5">#REF!</definedName>
    <definedName name="CrashDelayRuralArterFatal" localSheetId="3">#REF!</definedName>
    <definedName name="CrashDelayRuralArterFatal">'F.Params&amp;Assumptions(UserInput)'!$F$51</definedName>
    <definedName name="CrashDelayRuralArterInjury" localSheetId="3">#REF!</definedName>
    <definedName name="CrashDelayRuralArterInjury">'F.Params&amp;Assumptions(UserInput)'!$G$51</definedName>
    <definedName name="CrashDelayRuralArterPDO" localSheetId="3">#REF!</definedName>
    <definedName name="CrashDelayRuralArterPDO">'F.Params&amp;Assumptions(UserInput)'!$H$51</definedName>
    <definedName name="CrashDelayRuralInterFatal" localSheetId="3">#REF!</definedName>
    <definedName name="CrashDelayRuralInterFatal">'F.Params&amp;Assumptions(UserInput)'!$F$50</definedName>
    <definedName name="CrashDelayRuralInterInjury" localSheetId="3">#REF!</definedName>
    <definedName name="CrashDelayRuralInterInjury">'F.Params&amp;Assumptions(UserInput)'!$G$50</definedName>
    <definedName name="CrashDelayRuralInterPDO" localSheetId="3">#REF!</definedName>
    <definedName name="CrashDelayRuralInterPDO">'F.Params&amp;Assumptions(UserInput)'!$H$50</definedName>
    <definedName name="CrashDelayUrbanArterFatal" localSheetId="3">#REF!</definedName>
    <definedName name="CrashDelayUrbanArterFatal">'F.Params&amp;Assumptions(UserInput)'!$F$49</definedName>
    <definedName name="CrashDelayUrbanArterInjury" localSheetId="3">#REF!</definedName>
    <definedName name="CrashDelayUrbanArterInjury">'F.Params&amp;Assumptions(UserInput)'!$G$49</definedName>
    <definedName name="CrashDelayUrbanArterPDO" localSheetId="3">#REF!</definedName>
    <definedName name="CrashDelayUrbanArterPDO">'F.Params&amp;Assumptions(UserInput)'!$H$49</definedName>
    <definedName name="CrashDelayUrbanInterFatal" localSheetId="3">#REF!</definedName>
    <definedName name="CrashDelayUrbanInterFatal">'F.Params&amp;Assumptions(UserInput)'!$F$48</definedName>
    <definedName name="CrashDelayUrbanInterInjury" localSheetId="3">#REF!</definedName>
    <definedName name="CrashDelayUrbanInterInjury">'F.Params&amp;Assumptions(UserInput)'!$G$48</definedName>
    <definedName name="CrashDelayUrbanInterPDO" localSheetId="3">#REF!</definedName>
    <definedName name="CrashDelayUrbanInterPDO">'F.Params&amp;Assumptions(UserInput)'!$H$48</definedName>
    <definedName name="CrashReducFatigue15mi">#REF!</definedName>
    <definedName name="CrashReducFatigue30mi">#REF!</definedName>
    <definedName name="CrashReducFatigueCorridor">'F.Params&amp;Assumptions(UserInput)'!$F$60</definedName>
    <definedName name="CrashReducFatigueI5">#REF!</definedName>
    <definedName name="CrashReducFatigueNearby">'F.Params&amp;Assumptions(UserInput)'!$G$60</definedName>
    <definedName name="CrashReducIllegal15mi">#REF!</definedName>
    <definedName name="CrashReducIllegal30mi">#REF!</definedName>
    <definedName name="CrashReducIllegalCorridor">'F.Params&amp;Assumptions(UserInput)'!$F$61</definedName>
    <definedName name="CrashReducIllegalNearby">'F.Params&amp;Assumptions(UserInput)'!$G$61</definedName>
    <definedName name="CurrentDollarYear" localSheetId="3">#REF!</definedName>
    <definedName name="CurrentDollarYear">'F.Params&amp;Assumptions(UserInput)'!$F$13</definedName>
    <definedName name="EconomicUpdateFactor">#REF!</definedName>
    <definedName name="Gram_Ton" localSheetId="3">#REF!</definedName>
    <definedName name="Gram_Ton">'F.Params&amp;Assumptions(UserInput)'!$F$75</definedName>
    <definedName name="HeavyDemandDays">'F.Params&amp;Assumptions(UserInput)'!$F$31</definedName>
    <definedName name="HeavyDemandDaysCA">#REF!</definedName>
    <definedName name="HeavyDemandDaysOR">#REF!</definedName>
    <definedName name="HeavyDemandDaysWA">#REF!</definedName>
    <definedName name="HourSavedPerSpace" localSheetId="3">#REF!</definedName>
    <definedName name="HourSavedPerSpace">'F.Params&amp;Assumptions(UserInput)'!$F$36</definedName>
    <definedName name="HourSavingPerSpace">'F.Params&amp;Assumptions(UserInput)'!$F$36</definedName>
    <definedName name="InflationAdjustmentMultiplier" localSheetId="3">#REF!</definedName>
    <definedName name="InflationAdjustmentMultiplier">'F.Params&amp;Assumptions(UserInput)'!$F$140</definedName>
    <definedName name="Metric_Ton" localSheetId="3">#REF!</definedName>
    <definedName name="Metric_Ton">'F.Params&amp;Assumptions(UserInput)'!$F$74</definedName>
    <definedName name="MileSavedPerSpace" localSheetId="3">#REF!</definedName>
    <definedName name="MileSavedPerSpace">'F.Params&amp;Assumptions(UserInput)'!$F$38</definedName>
    <definedName name="NOXRuralArt">'F.Params&amp;Assumptions(UserInput)'!$F$81</definedName>
    <definedName name="NOXRuralCorridor">'F.Params&amp;Assumptions(UserInput)'!$F$80</definedName>
    <definedName name="NOXUrbanArt">'F.Params&amp;Assumptions(UserInput)'!$F$79</definedName>
    <definedName name="NOXUrbanCorridor">'F.Params&amp;Assumptions(UserInput)'!$F$78</definedName>
    <definedName name="NOXUrbanI5">#REF!</definedName>
    <definedName name="ParkingDemandGrowthRate">'F.Params&amp;Assumptions(UserInput)'!$F$28</definedName>
    <definedName name="ParkingDemandGrowthRateCA">#REF!</definedName>
    <definedName name="ParkingDemandGrowthRateOR">#REF!</definedName>
    <definedName name="ParkingDemandGrowthRateWA">#REF!</definedName>
    <definedName name="PavementDamagePerTonMile" localSheetId="3">#REF!</definedName>
    <definedName name="PavementDamagePerTonMile">'F.Params&amp;Assumptions(UserInput)'!$F$139</definedName>
    <definedName name="PeakPeriods">'F.Params&amp;Assumptions(UserInput)'!$F$30</definedName>
    <definedName name="PeakPeriodsCA">#REF!</definedName>
    <definedName name="PeakPeriodsOR">#REF!</definedName>
    <definedName name="PeakPeriodsWA">#REF!</definedName>
    <definedName name="PM25RuralArt">'F.Params&amp;Assumptions(UserInput)'!$H$81</definedName>
    <definedName name="PM25RuralCorridor">'F.Params&amp;Assumptions(UserInput)'!$H$80</definedName>
    <definedName name="PM25UrbanArt">'F.Params&amp;Assumptions(UserInput)'!$H$79</definedName>
    <definedName name="PM25UrbanCorridor">'F.Params&amp;Assumptions(UserInput)'!$H$78</definedName>
    <definedName name="PM25UrbanI5">#REF!</definedName>
    <definedName name="RealDiscountRate" localSheetId="3">#REF!</definedName>
    <definedName name="RealDiscountRate">'F.Params&amp;Assumptions(UserInput)'!$F$20</definedName>
    <definedName name="RuralShareCA">#REF!</definedName>
    <definedName name="RuralShareOR">#REF!</definedName>
    <definedName name="RuralShareWA">#REF!</definedName>
    <definedName name="SO2RuralArt">'F.Params&amp;Assumptions(UserInput)'!$G$81</definedName>
    <definedName name="SO2RuralCorridor">'F.Params&amp;Assumptions(UserInput)'!$G$80</definedName>
    <definedName name="SO2UrbanArt">'F.Params&amp;Assumptions(UserInput)'!$G$79</definedName>
    <definedName name="SO2UrbanCorridor">'F.Params&amp;Assumptions(UserInput)'!$G$78</definedName>
    <definedName name="SO2UrbanI5">#REF!</definedName>
    <definedName name="SpacesRural">'F.Params&amp;Assumptions(UserInput)'!$F$26</definedName>
    <definedName name="SpacesRuralCA">#REF!</definedName>
    <definedName name="SpacesRuralOR">#REF!</definedName>
    <definedName name="SpacesRuralWA">#REF!</definedName>
    <definedName name="SpacesUrbanCA">#REF!</definedName>
    <definedName name="SpacesUrbanCorridor">'F.Params&amp;Assumptions(UserInput)'!$F$25</definedName>
    <definedName name="SpacesUrbanOR">#REF!</definedName>
    <definedName name="SpacesUrbanWA">#REF!</definedName>
    <definedName name="Test">'F.Params&amp;Assumptions(UserInput)'!$F$60</definedName>
    <definedName name="TimeSavingPerSpace">'F.Params&amp;Assumptions(UserInput)'!$F$36</definedName>
    <definedName name="TimeValueGeneral" localSheetId="3">#REF!</definedName>
    <definedName name="TimeValueGeneral">'F.Params&amp;Assumptions(UserInput)'!$F$44</definedName>
    <definedName name="TimeValueTruck" localSheetId="3">#REF!</definedName>
    <definedName name="TimeValueTruck">'F.Params&amp;Assumptions(UserInput)'!$F$43</definedName>
    <definedName name="UtilizationCA">#REF!</definedName>
    <definedName name="UtilizationCorridor">'F.Params&amp;Assumptions(UserInput)'!$F$27</definedName>
    <definedName name="UtilizationOR">#REF!</definedName>
    <definedName name="UtilizationWA">#REF!</definedName>
    <definedName name="Value_A" localSheetId="3">#REF!</definedName>
    <definedName name="Value_A">'F.Params&amp;Assumptions(UserInput)'!$F$65</definedName>
    <definedName name="Value_B" localSheetId="3">#REF!</definedName>
    <definedName name="Value_B">'F.Params&amp;Assumptions(UserInput)'!$F$66</definedName>
    <definedName name="Value_C" localSheetId="3">#REF!</definedName>
    <definedName name="Value_C">'F.Params&amp;Assumptions(UserInput)'!$F$67</definedName>
    <definedName name="Value_K" localSheetId="3">#REF!</definedName>
    <definedName name="Value_K">'F.Params&amp;Assumptions(UserInput)'!$F$64</definedName>
    <definedName name="Value_O" localSheetId="3">#REF!</definedName>
    <definedName name="Value_O">'F.Params&amp;Assumptions(UserInput)'!$F$68</definedName>
    <definedName name="Value_U" localSheetId="3">#REF!</definedName>
    <definedName name="Value_U">'F.Params&amp;Assumptions(UserInput)'!$F$69</definedName>
    <definedName name="Value_U1">'F.Params&amp;Assumptions(UserInput)'!$F$69</definedName>
    <definedName name="Value_U2">#REF!</definedName>
    <definedName name="VehilceOperatingCostPerMile" localSheetId="3">#REF!</definedName>
    <definedName name="VehilceOperatingCostPerMile">'F.Params&amp;Assumptions(UserInput)'!$F$55</definedName>
    <definedName name="VOR" localSheetId="3">#REF!</definedName>
    <definedName name="VOR">'F.Params&amp;Assumptions(UserInput)'!$F$45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31" i="10" l="1"/>
  <c r="J32" i="10" s="1"/>
  <c r="J33" i="10" s="1"/>
  <c r="J34" i="10" s="1"/>
  <c r="J35" i="10" s="1"/>
  <c r="J36" i="10" s="1"/>
  <c r="J37" i="10" s="1"/>
  <c r="J38" i="10" s="1"/>
  <c r="J39" i="10" s="1"/>
  <c r="J40" i="10" s="1"/>
  <c r="D55" i="32"/>
  <c r="D56" i="32" s="1"/>
  <c r="D57" i="32" s="1"/>
  <c r="H49" i="32"/>
  <c r="G48" i="32"/>
  <c r="H47" i="32"/>
  <c r="H46" i="32"/>
  <c r="F43" i="32"/>
  <c r="F16" i="32"/>
  <c r="G49" i="32" l="1"/>
  <c r="H48" i="32"/>
  <c r="G46" i="32"/>
  <c r="G47" i="32"/>
  <c r="C47" i="15" l="1"/>
  <c r="C48" i="15"/>
  <c r="C49" i="15"/>
  <c r="C50" i="15"/>
  <c r="C51" i="15"/>
  <c r="C52" i="15"/>
  <c r="C46" i="15"/>
  <c r="J15" i="15"/>
  <c r="K15" i="15" s="1"/>
  <c r="J16" i="15"/>
  <c r="K16" i="15" s="1"/>
  <c r="J17" i="15"/>
  <c r="K17" i="15" s="1"/>
  <c r="J18" i="15"/>
  <c r="J19" i="15"/>
  <c r="K19" i="15" s="1"/>
  <c r="J20" i="15"/>
  <c r="J21" i="15"/>
  <c r="K20" i="15" s="1"/>
  <c r="K21" i="15" l="1"/>
  <c r="K18" i="15"/>
  <c r="A14" i="3"/>
  <c r="A15" i="3" s="1"/>
  <c r="A16" i="3" s="1"/>
  <c r="D14" i="28" l="1"/>
  <c r="D15" i="28" s="1"/>
  <c r="D16" i="28" s="1"/>
  <c r="D17" i="28" s="1"/>
  <c r="D18" i="28" s="1"/>
  <c r="D19" i="28" s="1"/>
  <c r="D20" i="28" s="1"/>
  <c r="D21" i="28" s="1"/>
  <c r="D22" i="28" s="1"/>
  <c r="C16" i="27"/>
  <c r="G16" i="27" s="1"/>
  <c r="C17" i="27"/>
  <c r="E17" i="27" s="1"/>
  <c r="G15" i="27"/>
  <c r="F15" i="27"/>
  <c r="E15" i="27"/>
  <c r="D15" i="27"/>
  <c r="H15" i="27" s="1"/>
  <c r="C18" i="27" l="1"/>
  <c r="E16" i="27"/>
  <c r="F17" i="27"/>
  <c r="F16" i="27"/>
  <c r="D17" i="27"/>
  <c r="D16" i="27"/>
  <c r="G17" i="27"/>
  <c r="H16" i="27" l="1"/>
  <c r="H17" i="27"/>
  <c r="F29" i="4" l="1"/>
  <c r="E17" i="11"/>
  <c r="D17" i="11"/>
  <c r="C17" i="11"/>
  <c r="E16" i="12"/>
  <c r="D16" i="12"/>
  <c r="C16" i="12"/>
  <c r="H60" i="13"/>
  <c r="G60" i="13"/>
  <c r="F60" i="13"/>
  <c r="E60" i="13"/>
  <c r="D60" i="13"/>
  <c r="C60" i="13"/>
  <c r="H27" i="7"/>
  <c r="G27" i="7"/>
  <c r="F27" i="7"/>
  <c r="E27" i="7"/>
  <c r="D27" i="7"/>
  <c r="C27" i="7"/>
  <c r="E31" i="10"/>
  <c r="D31" i="10"/>
  <c r="C31" i="10"/>
  <c r="G55" i="1"/>
  <c r="F55" i="1"/>
  <c r="E55" i="1"/>
  <c r="D55" i="1"/>
  <c r="C55" i="1"/>
  <c r="J21" i="6"/>
  <c r="I21" i="6"/>
  <c r="H21" i="6"/>
  <c r="G21" i="6"/>
  <c r="F21" i="6"/>
  <c r="E21" i="6"/>
  <c r="D21" i="6"/>
  <c r="C21" i="6"/>
  <c r="F11" i="28"/>
  <c r="E11" i="28"/>
  <c r="D11" i="28"/>
  <c r="C11" i="28"/>
  <c r="K12" i="27"/>
  <c r="J12" i="27"/>
  <c r="F16" i="4" l="1"/>
  <c r="I10" i="16"/>
  <c r="I11" i="16"/>
  <c r="I12" i="16"/>
  <c r="I13" i="16"/>
  <c r="I14" i="16"/>
  <c r="I9" i="16"/>
  <c r="I9" i="17" s="1"/>
  <c r="H10" i="16"/>
  <c r="H11" i="16"/>
  <c r="H12" i="16"/>
  <c r="H13" i="16"/>
  <c r="H14" i="16"/>
  <c r="H9" i="16"/>
  <c r="H9" i="17" s="1"/>
  <c r="G10" i="16"/>
  <c r="G11" i="16"/>
  <c r="G12" i="16"/>
  <c r="G13" i="16"/>
  <c r="G14" i="16"/>
  <c r="G9" i="16"/>
  <c r="G9" i="17" s="1"/>
  <c r="F10" i="16"/>
  <c r="F11" i="16"/>
  <c r="F12" i="16"/>
  <c r="F13" i="16"/>
  <c r="F14" i="16"/>
  <c r="F9" i="16"/>
  <c r="F9" i="17" s="1"/>
  <c r="F21" i="15"/>
  <c r="G21" i="15"/>
  <c r="B21" i="15"/>
  <c r="B47" i="15"/>
  <c r="B48" i="15"/>
  <c r="B49" i="15"/>
  <c r="B50" i="15"/>
  <c r="B51" i="15"/>
  <c r="B46" i="15"/>
  <c r="B36" i="15"/>
  <c r="B37" i="15"/>
  <c r="B38" i="15"/>
  <c r="B39" i="15"/>
  <c r="B40" i="15"/>
  <c r="B35" i="15"/>
  <c r="E14" i="28"/>
  <c r="E15" i="28"/>
  <c r="E16" i="28"/>
  <c r="E17" i="28"/>
  <c r="E18" i="28"/>
  <c r="E19" i="28"/>
  <c r="E20" i="28"/>
  <c r="E21" i="28"/>
  <c r="E22" i="28"/>
  <c r="E13" i="28"/>
  <c r="D23" i="28"/>
  <c r="C23" i="28"/>
  <c r="A13" i="27"/>
  <c r="K13" i="27" s="1"/>
  <c r="D18" i="27"/>
  <c r="E18" i="27"/>
  <c r="F18" i="27"/>
  <c r="G18" i="27"/>
  <c r="H18" i="27"/>
  <c r="A15" i="27"/>
  <c r="A16" i="27" s="1"/>
  <c r="I17" i="27"/>
  <c r="I16" i="27"/>
  <c r="I15" i="27"/>
  <c r="A17" i="27" l="1"/>
  <c r="J17" i="27" s="1"/>
  <c r="J16" i="27"/>
  <c r="K16" i="27" s="1"/>
  <c r="F56" i="32" s="1"/>
  <c r="G56" i="32" s="1"/>
  <c r="A22" i="6"/>
  <c r="A23" i="6" s="1"/>
  <c r="A24" i="6" s="1"/>
  <c r="A25" i="6" s="1"/>
  <c r="A26" i="6" s="1"/>
  <c r="A27" i="6" s="1"/>
  <c r="A28" i="6" s="1"/>
  <c r="A29" i="6" s="1"/>
  <c r="A30" i="6" s="1"/>
  <c r="A31" i="6" s="1"/>
  <c r="A18" i="11"/>
  <c r="A19" i="11" s="1"/>
  <c r="A20" i="11" s="1"/>
  <c r="A21" i="11" s="1"/>
  <c r="A22" i="11" s="1"/>
  <c r="A23" i="11" s="1"/>
  <c r="A24" i="11" s="1"/>
  <c r="A25" i="11" s="1"/>
  <c r="A26" i="11" s="1"/>
  <c r="A27" i="11" s="1"/>
  <c r="A32" i="10"/>
  <c r="A33" i="10" s="1"/>
  <c r="A34" i="10" s="1"/>
  <c r="A35" i="10" s="1"/>
  <c r="A36" i="10" s="1"/>
  <c r="A37" i="10" s="1"/>
  <c r="A38" i="10" s="1"/>
  <c r="A39" i="10" s="1"/>
  <c r="A40" i="10" s="1"/>
  <c r="A41" i="10" s="1"/>
  <c r="A61" i="13"/>
  <c r="A62" i="13" s="1"/>
  <c r="A63" i="13" s="1"/>
  <c r="A64" i="13" s="1"/>
  <c r="A65" i="13" s="1"/>
  <c r="A66" i="13" s="1"/>
  <c r="A67" i="13" s="1"/>
  <c r="A68" i="13" s="1"/>
  <c r="A69" i="13" s="1"/>
  <c r="A70" i="13" s="1"/>
  <c r="A45" i="13"/>
  <c r="A46" i="13" s="1"/>
  <c r="A47" i="13" s="1"/>
  <c r="A48" i="13" s="1"/>
  <c r="A49" i="13" s="1"/>
  <c r="A50" i="13" s="1"/>
  <c r="A51" i="13" s="1"/>
  <c r="A52" i="13" s="1"/>
  <c r="A53" i="13" s="1"/>
  <c r="A54" i="13" s="1"/>
  <c r="A56" i="1"/>
  <c r="A57" i="1" s="1"/>
  <c r="A58" i="1" s="1"/>
  <c r="A59" i="1" s="1"/>
  <c r="A60" i="1" s="1"/>
  <c r="A61" i="1" s="1"/>
  <c r="A62" i="1" s="1"/>
  <c r="A63" i="1" s="1"/>
  <c r="A64" i="1" s="1"/>
  <c r="A65" i="1" s="1"/>
  <c r="A28" i="7"/>
  <c r="A29" i="7" s="1"/>
  <c r="A30" i="7" s="1"/>
  <c r="A31" i="7" s="1"/>
  <c r="A32" i="7" s="1"/>
  <c r="A33" i="7" s="1"/>
  <c r="A34" i="7" s="1"/>
  <c r="A35" i="7" s="1"/>
  <c r="A36" i="7" s="1"/>
  <c r="A37" i="7" s="1"/>
  <c r="E10" i="19"/>
  <c r="A13" i="28"/>
  <c r="A14" i="28" s="1"/>
  <c r="A15" i="28" s="1"/>
  <c r="A16" i="28" s="1"/>
  <c r="A17" i="28" s="1"/>
  <c r="A18" i="28" s="1"/>
  <c r="A19" i="28" s="1"/>
  <c r="A20" i="28" s="1"/>
  <c r="A21" i="28" s="1"/>
  <c r="A22" i="28" s="1"/>
  <c r="F22" i="28" s="1"/>
  <c r="J27" i="3" s="1"/>
  <c r="A18" i="3"/>
  <c r="A19" i="3" s="1"/>
  <c r="A20" i="3" s="1"/>
  <c r="A21" i="3" s="1"/>
  <c r="A22" i="3" s="1"/>
  <c r="A23" i="3" s="1"/>
  <c r="A24" i="3" s="1"/>
  <c r="A25" i="3" s="1"/>
  <c r="A26" i="3" s="1"/>
  <c r="A27" i="3" s="1"/>
  <c r="E9" i="19"/>
  <c r="I18" i="27"/>
  <c r="E8" i="19"/>
  <c r="D10" i="19"/>
  <c r="E11" i="19"/>
  <c r="D11" i="19"/>
  <c r="F18" i="4"/>
  <c r="D8" i="19"/>
  <c r="D9" i="19"/>
  <c r="E23" i="28"/>
  <c r="J15" i="27"/>
  <c r="K15" i="27" s="1"/>
  <c r="F55" i="32" s="1"/>
  <c r="G55" i="32" s="1"/>
  <c r="F16" i="28" l="1"/>
  <c r="J21" i="3" s="1"/>
  <c r="F14" i="28"/>
  <c r="J19" i="3" s="1"/>
  <c r="F21" i="28"/>
  <c r="J26" i="3" s="1"/>
  <c r="F13" i="28"/>
  <c r="J18" i="3" s="1"/>
  <c r="F20" i="28"/>
  <c r="J25" i="3" s="1"/>
  <c r="F15" i="28"/>
  <c r="J20" i="3" s="1"/>
  <c r="F17" i="28"/>
  <c r="J22" i="3" s="1"/>
  <c r="F18" i="28"/>
  <c r="J23" i="3" s="1"/>
  <c r="F19" i="28"/>
  <c r="J24" i="3" s="1"/>
  <c r="J18" i="27"/>
  <c r="K17" i="27"/>
  <c r="K18" i="27" l="1"/>
  <c r="F57" i="32"/>
  <c r="G57" i="32" s="1"/>
  <c r="F23" i="28"/>
  <c r="D21" i="15"/>
  <c r="E21" i="15"/>
  <c r="K14" i="3"/>
  <c r="L14" i="3"/>
  <c r="K15" i="3"/>
  <c r="L15" i="3"/>
  <c r="K16" i="3"/>
  <c r="L16" i="3"/>
  <c r="B19" i="3"/>
  <c r="B20" i="3" s="1"/>
  <c r="B21" i="3" s="1"/>
  <c r="B22" i="3" s="1"/>
  <c r="B23" i="3" s="1"/>
  <c r="B24" i="3" s="1"/>
  <c r="B25" i="3" s="1"/>
  <c r="B26" i="3" s="1"/>
  <c r="B27" i="3" s="1"/>
  <c r="M14" i="3" l="1"/>
  <c r="M15" i="3"/>
  <c r="M16" i="3"/>
  <c r="L29" i="3"/>
  <c r="G10" i="2" s="1"/>
  <c r="E10" i="32" s="1"/>
  <c r="O31" i="10" l="1"/>
  <c r="O32" i="10" l="1"/>
  <c r="O33" i="10" l="1"/>
  <c r="O34" i="10" l="1"/>
  <c r="O35" i="10" l="1"/>
  <c r="O36" i="10" l="1"/>
  <c r="O37" i="10" l="1"/>
  <c r="F61" i="4"/>
  <c r="F60" i="4"/>
  <c r="F36" i="4"/>
  <c r="F38" i="4" s="1"/>
  <c r="E10" i="16" l="1"/>
  <c r="D11" i="16"/>
  <c r="C12" i="16"/>
  <c r="B13" i="16"/>
  <c r="E11" i="16"/>
  <c r="D12" i="16"/>
  <c r="C13" i="16"/>
  <c r="B14" i="16"/>
  <c r="E12" i="16"/>
  <c r="D13" i="16"/>
  <c r="C14" i="16"/>
  <c r="C9" i="16"/>
  <c r="C9" i="17" s="1"/>
  <c r="C10" i="16"/>
  <c r="D10" i="16"/>
  <c r="B12" i="16"/>
  <c r="E13" i="16"/>
  <c r="D14" i="16"/>
  <c r="B9" i="16"/>
  <c r="B9" i="17" s="1"/>
  <c r="C11" i="16"/>
  <c r="E14" i="16"/>
  <c r="B11" i="16"/>
  <c r="D9" i="16"/>
  <c r="D9" i="17" s="1"/>
  <c r="B10" i="16"/>
  <c r="E9" i="16"/>
  <c r="E9" i="17" s="1"/>
  <c r="O38" i="10"/>
  <c r="I104" i="4"/>
  <c r="I84" i="4"/>
  <c r="J9" i="17" l="1"/>
  <c r="O40" i="10"/>
  <c r="O39" i="10"/>
  <c r="F84" i="4" l="1"/>
  <c r="B30" i="15"/>
  <c r="B29" i="15"/>
  <c r="B28" i="15"/>
  <c r="B27" i="15"/>
  <c r="B26" i="15"/>
  <c r="B25" i="15"/>
  <c r="C19" i="10" l="1"/>
  <c r="C23" i="10" s="1"/>
  <c r="H104" i="4"/>
  <c r="H84" i="4"/>
  <c r="G104" i="4"/>
  <c r="G84" i="4"/>
  <c r="F104" i="4"/>
  <c r="B18" i="12" l="1"/>
  <c r="B19" i="12" s="1"/>
  <c r="B20" i="12" s="1"/>
  <c r="B21" i="12" s="1"/>
  <c r="B22" i="12" s="1"/>
  <c r="B23" i="12" s="1"/>
  <c r="B24" i="12" s="1"/>
  <c r="B25" i="12" s="1"/>
  <c r="B26" i="12" s="1"/>
  <c r="C22" i="13" l="1"/>
  <c r="C26" i="13" s="1"/>
  <c r="C31" i="13" s="1"/>
  <c r="C32" i="13" l="1"/>
  <c r="C18" i="12" s="1"/>
  <c r="C18" i="11"/>
  <c r="C17" i="12"/>
  <c r="B62" i="13"/>
  <c r="B63" i="13" s="1"/>
  <c r="B29" i="7"/>
  <c r="B30" i="7" s="1"/>
  <c r="B31" i="7" s="1"/>
  <c r="B33" i="10"/>
  <c r="B34" i="10" s="1"/>
  <c r="B35" i="10" s="1"/>
  <c r="B36" i="10" s="1"/>
  <c r="B37" i="10" s="1"/>
  <c r="B38" i="10" s="1"/>
  <c r="B39" i="10" s="1"/>
  <c r="B40" i="10" s="1"/>
  <c r="B41" i="10" s="1"/>
  <c r="C20" i="10"/>
  <c r="C24" i="10" s="1"/>
  <c r="C25" i="10" s="1"/>
  <c r="C33" i="13" l="1"/>
  <c r="C34" i="13" s="1"/>
  <c r="C19" i="11"/>
  <c r="C32" i="10"/>
  <c r="C33" i="10" s="1"/>
  <c r="C34" i="10" s="1"/>
  <c r="C35" i="10" s="1"/>
  <c r="C36" i="10" s="1"/>
  <c r="C37" i="10" s="1"/>
  <c r="C38" i="10" s="1"/>
  <c r="C39" i="10" s="1"/>
  <c r="C40" i="10" s="1"/>
  <c r="C41" i="10" s="1"/>
  <c r="B64" i="13"/>
  <c r="B32" i="7"/>
  <c r="B57" i="1"/>
  <c r="B58" i="1" s="1"/>
  <c r="B59" i="1" s="1"/>
  <c r="B60" i="1" s="1"/>
  <c r="B61" i="1" s="1"/>
  <c r="B62" i="1" s="1"/>
  <c r="B63" i="1" s="1"/>
  <c r="B64" i="1" s="1"/>
  <c r="B65" i="1" s="1"/>
  <c r="C20" i="11" l="1"/>
  <c r="C19" i="12"/>
  <c r="C35" i="13"/>
  <c r="C21" i="11"/>
  <c r="C20" i="12"/>
  <c r="B65" i="13"/>
  <c r="B33" i="7"/>
  <c r="C36" i="13" l="1"/>
  <c r="C22" i="11"/>
  <c r="C21" i="12"/>
  <c r="B66" i="13"/>
  <c r="B34" i="7"/>
  <c r="C37" i="13" l="1"/>
  <c r="C23" i="11"/>
  <c r="C22" i="12"/>
  <c r="B67" i="13"/>
  <c r="B35" i="7"/>
  <c r="C38" i="13" l="1"/>
  <c r="C23" i="12"/>
  <c r="C24" i="11"/>
  <c r="B68" i="13"/>
  <c r="B36" i="7"/>
  <c r="C39" i="13" l="1"/>
  <c r="C24" i="12"/>
  <c r="C25" i="11"/>
  <c r="B69" i="13"/>
  <c r="B37" i="7"/>
  <c r="C40" i="13" l="1"/>
  <c r="C25" i="12"/>
  <c r="C26" i="11"/>
  <c r="B70" i="13"/>
  <c r="C27" i="11" l="1"/>
  <c r="C26" i="12"/>
  <c r="I10" i="17"/>
  <c r="H11" i="17"/>
  <c r="H13" i="17"/>
  <c r="G12" i="17"/>
  <c r="F10" i="17"/>
  <c r="F13" i="17"/>
  <c r="E11" i="17"/>
  <c r="E12" i="17"/>
  <c r="E13" i="17"/>
  <c r="E14" i="17"/>
  <c r="D12" i="17"/>
  <c r="D11" i="17"/>
  <c r="C13" i="17"/>
  <c r="C11" i="17"/>
  <c r="C10" i="17"/>
  <c r="B10" i="17"/>
  <c r="I21" i="15"/>
  <c r="B52" i="15" s="1"/>
  <c r="H21" i="15"/>
  <c r="B41" i="15" s="1"/>
  <c r="B31" i="15" l="1"/>
  <c r="B10" i="19"/>
  <c r="E24" i="1" s="1"/>
  <c r="C10" i="19"/>
  <c r="E26" i="1" s="1"/>
  <c r="E33" i="1" s="1"/>
  <c r="E40" i="1" s="1"/>
  <c r="E47" i="1" s="1"/>
  <c r="C11" i="19"/>
  <c r="C25" i="1"/>
  <c r="D14" i="17"/>
  <c r="C8" i="19"/>
  <c r="C26" i="1" s="1"/>
  <c r="C27" i="1"/>
  <c r="B11" i="19"/>
  <c r="E27" i="1"/>
  <c r="E34" i="1" s="1"/>
  <c r="E41" i="1" s="1"/>
  <c r="E48" i="1" s="1"/>
  <c r="C9" i="19"/>
  <c r="D26" i="1" s="1"/>
  <c r="D33" i="1" s="1"/>
  <c r="D40" i="1" s="1"/>
  <c r="D47" i="1" s="1"/>
  <c r="E25" i="1"/>
  <c r="E32" i="1" s="1"/>
  <c r="E39" i="1" s="1"/>
  <c r="E46" i="1" s="1"/>
  <c r="B8" i="19"/>
  <c r="K15" i="16"/>
  <c r="D27" i="1"/>
  <c r="D34" i="1" s="1"/>
  <c r="D41" i="1" s="1"/>
  <c r="D48" i="1" s="1"/>
  <c r="B9" i="19"/>
  <c r="D24" i="1" s="1"/>
  <c r="D31" i="1" s="1"/>
  <c r="D38" i="1" s="1"/>
  <c r="D45" i="1" s="1"/>
  <c r="D25" i="1"/>
  <c r="D32" i="1" s="1"/>
  <c r="D39" i="1" s="1"/>
  <c r="D46" i="1" s="1"/>
  <c r="I13" i="17"/>
  <c r="H12" i="17"/>
  <c r="G13" i="17"/>
  <c r="E10" i="17"/>
  <c r="G14" i="17"/>
  <c r="I12" i="17"/>
  <c r="H14" i="17"/>
  <c r="D10" i="17"/>
  <c r="F14" i="17"/>
  <c r="I11" i="17"/>
  <c r="F12" i="17"/>
  <c r="G11" i="17"/>
  <c r="H10" i="17"/>
  <c r="B14" i="17"/>
  <c r="B11" i="17"/>
  <c r="C12" i="17"/>
  <c r="D13" i="17"/>
  <c r="F11" i="17"/>
  <c r="G10" i="17"/>
  <c r="B12" i="17"/>
  <c r="B13" i="17"/>
  <c r="C14" i="17"/>
  <c r="I14" i="17"/>
  <c r="F15" i="16"/>
  <c r="I15" i="16"/>
  <c r="G15" i="16"/>
  <c r="H15" i="16"/>
  <c r="E15" i="16"/>
  <c r="B15" i="16"/>
  <c r="D15" i="16"/>
  <c r="C15" i="16"/>
  <c r="C41" i="15" l="1"/>
  <c r="C39" i="15"/>
  <c r="C40" i="15"/>
  <c r="C37" i="15"/>
  <c r="C36" i="15"/>
  <c r="C38" i="15"/>
  <c r="C35" i="15"/>
  <c r="E31" i="1"/>
  <c r="E38" i="1" s="1"/>
  <c r="E45" i="1" s="1"/>
  <c r="E49" i="1" s="1"/>
  <c r="C26" i="15"/>
  <c r="C27" i="15"/>
  <c r="C30" i="15"/>
  <c r="C28" i="15"/>
  <c r="C29" i="15"/>
  <c r="D49" i="1"/>
  <c r="J14" i="17"/>
  <c r="H15" i="17"/>
  <c r="G15" i="17"/>
  <c r="F27" i="1"/>
  <c r="C34" i="1"/>
  <c r="F25" i="1"/>
  <c r="C32" i="1"/>
  <c r="E15" i="17"/>
  <c r="F11" i="19"/>
  <c r="D15" i="17"/>
  <c r="C12" i="19"/>
  <c r="F26" i="1"/>
  <c r="C33" i="1"/>
  <c r="F15" i="17"/>
  <c r="E12" i="19"/>
  <c r="D12" i="19"/>
  <c r="G12" i="19"/>
  <c r="C24" i="1"/>
  <c r="B12" i="19"/>
  <c r="I15" i="17"/>
  <c r="C15" i="17"/>
  <c r="F9" i="19"/>
  <c r="J10" i="17"/>
  <c r="J13" i="17"/>
  <c r="B15" i="17"/>
  <c r="J11" i="17"/>
  <c r="J12" i="17"/>
  <c r="F10" i="19"/>
  <c r="F8" i="19"/>
  <c r="J15" i="16"/>
  <c r="G27" i="6" l="1"/>
  <c r="G30" i="6"/>
  <c r="G28" i="6"/>
  <c r="G26" i="6"/>
  <c r="G29" i="6"/>
  <c r="G23" i="6"/>
  <c r="G31" i="6"/>
  <c r="G25" i="6"/>
  <c r="G24" i="6"/>
  <c r="G22" i="6"/>
  <c r="D30" i="6"/>
  <c r="D25" i="6"/>
  <c r="D31" i="6"/>
  <c r="D22" i="6"/>
  <c r="D24" i="6"/>
  <c r="D23" i="6"/>
  <c r="D26" i="6"/>
  <c r="D28" i="6"/>
  <c r="D27" i="6"/>
  <c r="D29" i="6"/>
  <c r="C29" i="6"/>
  <c r="C30" i="6"/>
  <c r="C31" i="6"/>
  <c r="C24" i="6"/>
  <c r="C25" i="6"/>
  <c r="C23" i="6"/>
  <c r="C28" i="6"/>
  <c r="C26" i="6"/>
  <c r="C22" i="6"/>
  <c r="C27" i="6"/>
  <c r="H29" i="6"/>
  <c r="H22" i="6"/>
  <c r="H30" i="6"/>
  <c r="H24" i="6"/>
  <c r="H23" i="6"/>
  <c r="H31" i="6"/>
  <c r="H28" i="6"/>
  <c r="H25" i="6"/>
  <c r="H27" i="6"/>
  <c r="H26" i="6"/>
  <c r="E23" i="6"/>
  <c r="E31" i="6"/>
  <c r="E30" i="6"/>
  <c r="E24" i="6"/>
  <c r="E22" i="6"/>
  <c r="E25" i="6"/>
  <c r="E26" i="6"/>
  <c r="E27" i="6"/>
  <c r="E28" i="6"/>
  <c r="E29" i="6"/>
  <c r="F25" i="6"/>
  <c r="F26" i="6"/>
  <c r="F28" i="6"/>
  <c r="F27" i="6"/>
  <c r="F29" i="6"/>
  <c r="F31" i="6"/>
  <c r="F24" i="6"/>
  <c r="F30" i="6"/>
  <c r="F23" i="6"/>
  <c r="F22" i="6"/>
  <c r="D63" i="1"/>
  <c r="D64" i="1"/>
  <c r="D62" i="1"/>
  <c r="D57" i="1"/>
  <c r="D65" i="1"/>
  <c r="D58" i="1"/>
  <c r="D56" i="1"/>
  <c r="D59" i="1"/>
  <c r="D60" i="1"/>
  <c r="D61" i="1"/>
  <c r="E57" i="1"/>
  <c r="E65" i="1"/>
  <c r="E56" i="1"/>
  <c r="E58" i="1"/>
  <c r="E59" i="1"/>
  <c r="E60" i="1"/>
  <c r="E64" i="1"/>
  <c r="E61" i="1"/>
  <c r="E62" i="1"/>
  <c r="E63" i="1"/>
  <c r="C31" i="15"/>
  <c r="C25" i="15"/>
  <c r="J15" i="17"/>
  <c r="C21" i="7"/>
  <c r="E21" i="7"/>
  <c r="F21" i="7"/>
  <c r="D21" i="7"/>
  <c r="C20" i="7"/>
  <c r="D20" i="7"/>
  <c r="E20" i="7"/>
  <c r="F20" i="7"/>
  <c r="C22" i="7"/>
  <c r="D22" i="7"/>
  <c r="E22" i="7"/>
  <c r="F22" i="7"/>
  <c r="F32" i="1"/>
  <c r="C39" i="1"/>
  <c r="C41" i="1"/>
  <c r="F34" i="1"/>
  <c r="F24" i="1"/>
  <c r="C31" i="1"/>
  <c r="F33" i="1"/>
  <c r="C40" i="1"/>
  <c r="F12" i="19"/>
  <c r="E19" i="7" l="1"/>
  <c r="C19" i="7"/>
  <c r="D19" i="7"/>
  <c r="F19" i="7"/>
  <c r="C38" i="1"/>
  <c r="F31" i="1"/>
  <c r="F41" i="1"/>
  <c r="C48" i="1"/>
  <c r="F48" i="1" s="1"/>
  <c r="F39" i="1"/>
  <c r="C46" i="1"/>
  <c r="F46" i="1" s="1"/>
  <c r="C47" i="1"/>
  <c r="F47" i="1" s="1"/>
  <c r="F40" i="1"/>
  <c r="D33" i="7" l="1"/>
  <c r="D34" i="7"/>
  <c r="D35" i="7"/>
  <c r="D36" i="7"/>
  <c r="D29" i="7"/>
  <c r="D37" i="7"/>
  <c r="D32" i="7"/>
  <c r="D30" i="7"/>
  <c r="D28" i="7"/>
  <c r="D31" i="7"/>
  <c r="F29" i="7"/>
  <c r="F37" i="7"/>
  <c r="F30" i="7"/>
  <c r="F28" i="7"/>
  <c r="F31" i="7"/>
  <c r="F32" i="7"/>
  <c r="F33" i="7"/>
  <c r="F34" i="7"/>
  <c r="F35" i="7"/>
  <c r="F36" i="7"/>
  <c r="C31" i="7"/>
  <c r="C30" i="7"/>
  <c r="C32" i="7"/>
  <c r="C33" i="7"/>
  <c r="C28" i="7"/>
  <c r="C34" i="7"/>
  <c r="C35" i="7"/>
  <c r="C36" i="7"/>
  <c r="C29" i="7"/>
  <c r="C37" i="7"/>
  <c r="E35" i="7"/>
  <c r="E36" i="7"/>
  <c r="E29" i="7"/>
  <c r="E37" i="7"/>
  <c r="E30" i="7"/>
  <c r="E28" i="7"/>
  <c r="E31" i="7"/>
  <c r="E32" i="7"/>
  <c r="E34" i="7"/>
  <c r="E33" i="7"/>
  <c r="F38" i="1"/>
  <c r="C45" i="1"/>
  <c r="B19" i="11"/>
  <c r="B20" i="11" s="1"/>
  <c r="B21" i="11" s="1"/>
  <c r="B22" i="11" s="1"/>
  <c r="B23" i="11" s="1"/>
  <c r="B24" i="11" s="1"/>
  <c r="B25" i="11" s="1"/>
  <c r="B26" i="11" s="1"/>
  <c r="B27" i="11" s="1"/>
  <c r="F75" i="4"/>
  <c r="D12" i="14"/>
  <c r="E12" i="14"/>
  <c r="I86" i="4" s="1"/>
  <c r="F12" i="14"/>
  <c r="F86" i="4" s="1"/>
  <c r="G12" i="14"/>
  <c r="H12" i="14"/>
  <c r="G86" i="4" s="1"/>
  <c r="I12" i="14"/>
  <c r="J12" i="14"/>
  <c r="H86" i="4" s="1"/>
  <c r="D13" i="14"/>
  <c r="E13" i="14"/>
  <c r="I87" i="4" s="1"/>
  <c r="F13" i="14"/>
  <c r="F87" i="4" s="1"/>
  <c r="G13" i="14"/>
  <c r="H13" i="14"/>
  <c r="G87" i="4" s="1"/>
  <c r="I13" i="14"/>
  <c r="J13" i="14"/>
  <c r="H87" i="4" s="1"/>
  <c r="D14" i="14"/>
  <c r="E14" i="14"/>
  <c r="I88" i="4" s="1"/>
  <c r="F14" i="14"/>
  <c r="F88" i="4" s="1"/>
  <c r="G14" i="14"/>
  <c r="H14" i="14"/>
  <c r="G88" i="4" s="1"/>
  <c r="I14" i="14"/>
  <c r="J14" i="14"/>
  <c r="H88" i="4" s="1"/>
  <c r="D15" i="14"/>
  <c r="E15" i="14"/>
  <c r="I89" i="4" s="1"/>
  <c r="F15" i="14"/>
  <c r="F89" i="4" s="1"/>
  <c r="G15" i="14"/>
  <c r="H15" i="14"/>
  <c r="G89" i="4" s="1"/>
  <c r="I15" i="14"/>
  <c r="J15" i="14"/>
  <c r="H89" i="4" s="1"/>
  <c r="D16" i="14"/>
  <c r="E16" i="14"/>
  <c r="I90" i="4" s="1"/>
  <c r="F16" i="14"/>
  <c r="F90" i="4" s="1"/>
  <c r="G16" i="14"/>
  <c r="H16" i="14"/>
  <c r="G90" i="4" s="1"/>
  <c r="I16" i="14"/>
  <c r="J16" i="14"/>
  <c r="H90" i="4" s="1"/>
  <c r="D17" i="14"/>
  <c r="E17" i="14"/>
  <c r="I91" i="4" s="1"/>
  <c r="F17" i="14"/>
  <c r="F91" i="4" s="1"/>
  <c r="G17" i="14"/>
  <c r="H17" i="14"/>
  <c r="G91" i="4" s="1"/>
  <c r="I17" i="14"/>
  <c r="J17" i="14"/>
  <c r="H91" i="4" s="1"/>
  <c r="D18" i="14"/>
  <c r="E18" i="14"/>
  <c r="I92" i="4" s="1"/>
  <c r="F18" i="14"/>
  <c r="F92" i="4" s="1"/>
  <c r="G18" i="14"/>
  <c r="H18" i="14"/>
  <c r="G92" i="4" s="1"/>
  <c r="I18" i="14"/>
  <c r="J18" i="14"/>
  <c r="H92" i="4" s="1"/>
  <c r="D19" i="14"/>
  <c r="E19" i="14"/>
  <c r="I93" i="4" s="1"/>
  <c r="F19" i="14"/>
  <c r="F93" i="4" s="1"/>
  <c r="G19" i="14"/>
  <c r="H19" i="14"/>
  <c r="G93" i="4" s="1"/>
  <c r="I19" i="14"/>
  <c r="J19" i="14"/>
  <c r="H93" i="4" s="1"/>
  <c r="D20" i="14"/>
  <c r="E20" i="14"/>
  <c r="I94" i="4" s="1"/>
  <c r="F20" i="14"/>
  <c r="F94" i="4" s="1"/>
  <c r="G20" i="14"/>
  <c r="H20" i="14"/>
  <c r="G94" i="4" s="1"/>
  <c r="I20" i="14"/>
  <c r="J20" i="14"/>
  <c r="H94" i="4" s="1"/>
  <c r="D21" i="14"/>
  <c r="E21" i="14"/>
  <c r="I95" i="4" s="1"/>
  <c r="F21" i="14"/>
  <c r="F95" i="4" s="1"/>
  <c r="G21" i="14"/>
  <c r="H21" i="14"/>
  <c r="G95" i="4" s="1"/>
  <c r="I21" i="14"/>
  <c r="J21" i="14"/>
  <c r="H95" i="4" s="1"/>
  <c r="D22" i="14"/>
  <c r="E22" i="14"/>
  <c r="I96" i="4" s="1"/>
  <c r="F22" i="14"/>
  <c r="F96" i="4" s="1"/>
  <c r="G22" i="14"/>
  <c r="H22" i="14"/>
  <c r="G96" i="4" s="1"/>
  <c r="I22" i="14"/>
  <c r="J22" i="14"/>
  <c r="H96" i="4" s="1"/>
  <c r="D23" i="14"/>
  <c r="E23" i="14"/>
  <c r="I97" i="4" s="1"/>
  <c r="F23" i="14"/>
  <c r="F97" i="4" s="1"/>
  <c r="G23" i="14"/>
  <c r="H23" i="14"/>
  <c r="G97" i="4" s="1"/>
  <c r="I23" i="14"/>
  <c r="J23" i="14"/>
  <c r="H97" i="4" s="1"/>
  <c r="D24" i="14"/>
  <c r="E24" i="14"/>
  <c r="I98" i="4" s="1"/>
  <c r="F24" i="14"/>
  <c r="F98" i="4" s="1"/>
  <c r="G24" i="14"/>
  <c r="H24" i="14"/>
  <c r="G98" i="4" s="1"/>
  <c r="I24" i="14"/>
  <c r="J24" i="14"/>
  <c r="H98" i="4" s="1"/>
  <c r="D25" i="14"/>
  <c r="E25" i="14"/>
  <c r="I99" i="4" s="1"/>
  <c r="F25" i="14"/>
  <c r="F99" i="4" s="1"/>
  <c r="G25" i="14"/>
  <c r="H25" i="14"/>
  <c r="G99" i="4" s="1"/>
  <c r="I25" i="14"/>
  <c r="J25" i="14"/>
  <c r="H99" i="4" s="1"/>
  <c r="D26" i="14"/>
  <c r="E26" i="14"/>
  <c r="I100" i="4" s="1"/>
  <c r="F26" i="14"/>
  <c r="F100" i="4" s="1"/>
  <c r="G26" i="14"/>
  <c r="H26" i="14"/>
  <c r="G100" i="4" s="1"/>
  <c r="I26" i="14"/>
  <c r="J26" i="14"/>
  <c r="H100" i="4" s="1"/>
  <c r="D27" i="14"/>
  <c r="E27" i="14"/>
  <c r="I101" i="4" s="1"/>
  <c r="F27" i="14"/>
  <c r="F101" i="4" s="1"/>
  <c r="G27" i="14"/>
  <c r="H27" i="14"/>
  <c r="G101" i="4" s="1"/>
  <c r="I27" i="14"/>
  <c r="J27" i="14"/>
  <c r="H101" i="4" s="1"/>
  <c r="D28" i="14"/>
  <c r="E28" i="14"/>
  <c r="I102" i="4" s="1"/>
  <c r="F28" i="14"/>
  <c r="F102" i="4" s="1"/>
  <c r="G28" i="14"/>
  <c r="H28" i="14"/>
  <c r="G102" i="4" s="1"/>
  <c r="I28" i="14"/>
  <c r="J28" i="14"/>
  <c r="H102" i="4" s="1"/>
  <c r="D29" i="14"/>
  <c r="E29" i="14"/>
  <c r="I103" i="4" s="1"/>
  <c r="F29" i="14"/>
  <c r="F103" i="4" s="1"/>
  <c r="G29" i="14"/>
  <c r="H29" i="14"/>
  <c r="G103" i="4" s="1"/>
  <c r="I29" i="14"/>
  <c r="J29" i="14"/>
  <c r="H103" i="4" s="1"/>
  <c r="J11" i="14"/>
  <c r="H85" i="4" s="1"/>
  <c r="I11" i="14"/>
  <c r="H11" i="14"/>
  <c r="G85" i="4" s="1"/>
  <c r="G11" i="14"/>
  <c r="F11" i="14"/>
  <c r="F85" i="4" s="1"/>
  <c r="E11" i="14"/>
  <c r="I85" i="4" s="1"/>
  <c r="D11" i="14"/>
  <c r="C46" i="13" l="1"/>
  <c r="C62" i="13" s="1"/>
  <c r="C45" i="13"/>
  <c r="C61" i="13" s="1"/>
  <c r="E45" i="13"/>
  <c r="E61" i="13" s="1"/>
  <c r="F45" i="13"/>
  <c r="F61" i="13" s="1"/>
  <c r="D45" i="13"/>
  <c r="D61" i="13" s="1"/>
  <c r="F46" i="13"/>
  <c r="F62" i="13" s="1"/>
  <c r="E46" i="13"/>
  <c r="E62" i="13" s="1"/>
  <c r="D46" i="13"/>
  <c r="D62" i="13" s="1"/>
  <c r="E47" i="13"/>
  <c r="E63" i="13" s="1"/>
  <c r="D47" i="13"/>
  <c r="D63" i="13" s="1"/>
  <c r="F47" i="13"/>
  <c r="F63" i="13" s="1"/>
  <c r="C47" i="13"/>
  <c r="C63" i="13" s="1"/>
  <c r="C48" i="13"/>
  <c r="C64" i="13" s="1"/>
  <c r="E48" i="13"/>
  <c r="E64" i="13" s="1"/>
  <c r="D48" i="13"/>
  <c r="D64" i="13" s="1"/>
  <c r="F48" i="13"/>
  <c r="F64" i="13" s="1"/>
  <c r="D49" i="13"/>
  <c r="D65" i="13" s="1"/>
  <c r="F49" i="13"/>
  <c r="F65" i="13" s="1"/>
  <c r="E49" i="13"/>
  <c r="E65" i="13" s="1"/>
  <c r="C49" i="13"/>
  <c r="C65" i="13" s="1"/>
  <c r="E50" i="13"/>
  <c r="E66" i="13" s="1"/>
  <c r="F50" i="13"/>
  <c r="F66" i="13" s="1"/>
  <c r="C50" i="13"/>
  <c r="C66" i="13" s="1"/>
  <c r="D50" i="13"/>
  <c r="D66" i="13" s="1"/>
  <c r="D51" i="13"/>
  <c r="D67" i="13" s="1"/>
  <c r="C51" i="13"/>
  <c r="C67" i="13" s="1"/>
  <c r="F51" i="13"/>
  <c r="F67" i="13" s="1"/>
  <c r="E51" i="13"/>
  <c r="E67" i="13" s="1"/>
  <c r="F52" i="13"/>
  <c r="F68" i="13" s="1"/>
  <c r="C52" i="13"/>
  <c r="C68" i="13" s="1"/>
  <c r="E52" i="13"/>
  <c r="E68" i="13" s="1"/>
  <c r="D52" i="13"/>
  <c r="D68" i="13" s="1"/>
  <c r="C53" i="13"/>
  <c r="C69" i="13" s="1"/>
  <c r="D53" i="13"/>
  <c r="D69" i="13" s="1"/>
  <c r="E53" i="13"/>
  <c r="E69" i="13" s="1"/>
  <c r="F53" i="13"/>
  <c r="F69" i="13" s="1"/>
  <c r="D54" i="13"/>
  <c r="D70" i="13" s="1"/>
  <c r="E54" i="13"/>
  <c r="E70" i="13" s="1"/>
  <c r="C54" i="13"/>
  <c r="C70" i="13" s="1"/>
  <c r="F54" i="13"/>
  <c r="F70" i="13" s="1"/>
  <c r="H37" i="7"/>
  <c r="F27" i="3" s="1"/>
  <c r="H30" i="7"/>
  <c r="F20" i="3" s="1"/>
  <c r="H36" i="7"/>
  <c r="F26" i="3" s="1"/>
  <c r="H32" i="7"/>
  <c r="F22" i="3" s="1"/>
  <c r="H28" i="7"/>
  <c r="F18" i="3" s="1"/>
  <c r="H35" i="7"/>
  <c r="F25" i="3" s="1"/>
  <c r="H31" i="7"/>
  <c r="F21" i="3" s="1"/>
  <c r="H34" i="7"/>
  <c r="F24" i="3" s="1"/>
  <c r="H29" i="7"/>
  <c r="F19" i="3" s="1"/>
  <c r="H33" i="7"/>
  <c r="F23" i="3" s="1"/>
  <c r="F45" i="1"/>
  <c r="F49" i="1" s="1"/>
  <c r="C49" i="1"/>
  <c r="C61" i="1" l="1"/>
  <c r="C62" i="1"/>
  <c r="C59" i="1"/>
  <c r="C63" i="1"/>
  <c r="C57" i="1"/>
  <c r="C58" i="1"/>
  <c r="C56" i="1"/>
  <c r="C60" i="1"/>
  <c r="C64" i="1"/>
  <c r="C65" i="1"/>
  <c r="F29" i="3"/>
  <c r="H61" i="13"/>
  <c r="G18" i="3" s="1"/>
  <c r="G61" i="13"/>
  <c r="H62" i="13" l="1"/>
  <c r="G19" i="3" s="1"/>
  <c r="G62" i="13"/>
  <c r="F60" i="1"/>
  <c r="G60" i="1" s="1"/>
  <c r="D22" i="3" s="1"/>
  <c r="F58" i="1"/>
  <c r="G58" i="1" s="1"/>
  <c r="D20" i="3" s="1"/>
  <c r="F57" i="1"/>
  <c r="G57" i="1" s="1"/>
  <c r="D19" i="3" s="1"/>
  <c r="F61" i="1"/>
  <c r="G61" i="1" s="1"/>
  <c r="D23" i="3" s="1"/>
  <c r="F65" i="1"/>
  <c r="G65" i="1" s="1"/>
  <c r="D27" i="3" s="1"/>
  <c r="F56" i="1"/>
  <c r="G56" i="1" s="1"/>
  <c r="D18" i="3" s="1"/>
  <c r="F59" i="1"/>
  <c r="G59" i="1" s="1"/>
  <c r="D21" i="3" s="1"/>
  <c r="F63" i="1"/>
  <c r="G63" i="1" s="1"/>
  <c r="D25" i="3" s="1"/>
  <c r="F64" i="1"/>
  <c r="G64" i="1" s="1"/>
  <c r="D26" i="3" s="1"/>
  <c r="F62" i="1"/>
  <c r="G62" i="1" s="1"/>
  <c r="D24" i="3" s="1"/>
  <c r="D29" i="3" l="1"/>
  <c r="H63" i="13"/>
  <c r="G20" i="3" s="1"/>
  <c r="G63" i="13"/>
  <c r="H64" i="13" l="1"/>
  <c r="G21" i="3" s="1"/>
  <c r="G64" i="13"/>
  <c r="H65" i="13" l="1"/>
  <c r="G22" i="3" s="1"/>
  <c r="G65" i="13"/>
  <c r="H66" i="13" l="1"/>
  <c r="G23" i="3" s="1"/>
  <c r="G66" i="13"/>
  <c r="H67" i="13" l="1"/>
  <c r="G24" i="3" s="1"/>
  <c r="G67" i="13"/>
  <c r="G68" i="13" l="1"/>
  <c r="H68" i="13"/>
  <c r="G25" i="3" s="1"/>
  <c r="H69" i="13" l="1"/>
  <c r="G26" i="3" s="1"/>
  <c r="G69" i="13"/>
  <c r="G70" i="13" l="1"/>
  <c r="H70" i="13"/>
  <c r="G27" i="3" s="1"/>
  <c r="G29" i="3" s="1"/>
  <c r="H72" i="13" l="1"/>
  <c r="B23" i="6" l="1"/>
  <c r="B24" i="6" s="1"/>
  <c r="B25" i="6" l="1"/>
  <c r="I30" i="6" l="1"/>
  <c r="J30" i="6" s="1"/>
  <c r="C26" i="3" s="1"/>
  <c r="I23" i="6"/>
  <c r="J23" i="6" s="1"/>
  <c r="C19" i="3" s="1"/>
  <c r="I31" i="6"/>
  <c r="J31" i="6" s="1"/>
  <c r="C27" i="3" s="1"/>
  <c r="I22" i="6"/>
  <c r="J22" i="6" s="1"/>
  <c r="C18" i="3" s="1"/>
  <c r="I24" i="6"/>
  <c r="J24" i="6" s="1"/>
  <c r="C20" i="3" s="1"/>
  <c r="I27" i="6"/>
  <c r="J27" i="6" s="1"/>
  <c r="C23" i="3" s="1"/>
  <c r="I25" i="6"/>
  <c r="J25" i="6" s="1"/>
  <c r="C21" i="3" s="1"/>
  <c r="I26" i="6"/>
  <c r="J26" i="6" s="1"/>
  <c r="C22" i="3" s="1"/>
  <c r="I28" i="6"/>
  <c r="J28" i="6" s="1"/>
  <c r="C24" i="3" s="1"/>
  <c r="I29" i="6"/>
  <c r="J29" i="6" s="1"/>
  <c r="C25" i="3" s="1"/>
  <c r="B26" i="6"/>
  <c r="C29" i="3" l="1"/>
  <c r="B27" i="6"/>
  <c r="D32" i="10" l="1"/>
  <c r="E32" i="10" s="1"/>
  <c r="E18" i="3" s="1"/>
  <c r="B28" i="6"/>
  <c r="D33" i="10" l="1"/>
  <c r="E33" i="10" s="1"/>
  <c r="E19" i="3" s="1"/>
  <c r="B29" i="6"/>
  <c r="D34" i="10" l="1"/>
  <c r="E34" i="10" s="1"/>
  <c r="E20" i="3" s="1"/>
  <c r="B30" i="6"/>
  <c r="D35" i="10" l="1"/>
  <c r="E35" i="10" s="1"/>
  <c r="E21" i="3" s="1"/>
  <c r="B31" i="6"/>
  <c r="D36" i="10" l="1"/>
  <c r="E36" i="10" s="1"/>
  <c r="E22" i="3" s="1"/>
  <c r="D37" i="10" l="1"/>
  <c r="E37" i="10" s="1"/>
  <c r="E23" i="3" s="1"/>
  <c r="D38" i="10" l="1"/>
  <c r="E38" i="10" s="1"/>
  <c r="E24" i="3" s="1"/>
  <c r="D39" i="10" l="1"/>
  <c r="E39" i="10" s="1"/>
  <c r="E25" i="3" s="1"/>
  <c r="D40" i="10" l="1"/>
  <c r="E40" i="10" s="1"/>
  <c r="E26" i="3" s="1"/>
  <c r="D41" i="10" l="1"/>
  <c r="E41" i="10" l="1"/>
  <c r="E27" i="3" s="1"/>
  <c r="E29" i="3" l="1"/>
  <c r="E43" i="10"/>
  <c r="J33" i="6"/>
  <c r="G30" i="7" l="1"/>
  <c r="G34" i="7"/>
  <c r="G33" i="7"/>
  <c r="G32" i="7"/>
  <c r="G29" i="7"/>
  <c r="G31" i="7"/>
  <c r="G37" i="7"/>
  <c r="G28" i="7"/>
  <c r="G35" i="7"/>
  <c r="G36" i="7"/>
  <c r="H39" i="7" l="1"/>
  <c r="G67" i="1"/>
  <c r="D23" i="12" l="1"/>
  <c r="E23" i="12" s="1"/>
  <c r="H24" i="3" s="1"/>
  <c r="D20" i="12"/>
  <c r="E20" i="12" s="1"/>
  <c r="H21" i="3" s="1"/>
  <c r="D24" i="12"/>
  <c r="E24" i="12" s="1"/>
  <c r="H25" i="3" s="1"/>
  <c r="D19" i="12"/>
  <c r="E19" i="12" s="1"/>
  <c r="H20" i="3" s="1"/>
  <c r="D21" i="12"/>
  <c r="E21" i="12" s="1"/>
  <c r="H22" i="3" s="1"/>
  <c r="D25" i="12"/>
  <c r="E25" i="12" s="1"/>
  <c r="H26" i="3" s="1"/>
  <c r="D17" i="12"/>
  <c r="E17" i="12" s="1"/>
  <c r="H18" i="3" s="1"/>
  <c r="D18" i="12"/>
  <c r="E18" i="12" s="1"/>
  <c r="H19" i="3" s="1"/>
  <c r="D22" i="12"/>
  <c r="E22" i="12" s="1"/>
  <c r="H23" i="3" s="1"/>
  <c r="D26" i="12"/>
  <c r="E26" i="12" s="1"/>
  <c r="H27" i="3" s="1"/>
  <c r="H29" i="3" l="1"/>
  <c r="E28" i="12"/>
  <c r="D19" i="11"/>
  <c r="E19" i="11" s="1"/>
  <c r="I19" i="3" s="1"/>
  <c r="D23" i="11"/>
  <c r="E23" i="11" s="1"/>
  <c r="I23" i="3" s="1"/>
  <c r="K23" i="3" s="1"/>
  <c r="M23" i="3" s="1"/>
  <c r="D24" i="11"/>
  <c r="E24" i="11" s="1"/>
  <c r="I24" i="3" s="1"/>
  <c r="K24" i="3" s="1"/>
  <c r="M24" i="3" s="1"/>
  <c r="D20" i="11"/>
  <c r="E20" i="11" s="1"/>
  <c r="I20" i="3" s="1"/>
  <c r="K20" i="3" s="1"/>
  <c r="M20" i="3" s="1"/>
  <c r="D26" i="11"/>
  <c r="E26" i="11" s="1"/>
  <c r="I26" i="3" s="1"/>
  <c r="K26" i="3" s="1"/>
  <c r="M26" i="3" s="1"/>
  <c r="D25" i="11"/>
  <c r="E25" i="11" s="1"/>
  <c r="I25" i="3" s="1"/>
  <c r="K25" i="3" s="1"/>
  <c r="M25" i="3" s="1"/>
  <c r="D21" i="11"/>
  <c r="E21" i="11" s="1"/>
  <c r="I21" i="3" s="1"/>
  <c r="K21" i="3" s="1"/>
  <c r="M21" i="3" s="1"/>
  <c r="D22" i="11"/>
  <c r="E22" i="11" s="1"/>
  <c r="I22" i="3" s="1"/>
  <c r="K22" i="3" s="1"/>
  <c r="M22" i="3" s="1"/>
  <c r="D27" i="11"/>
  <c r="E27" i="11" s="1"/>
  <c r="I27" i="3" s="1"/>
  <c r="K27" i="3" s="1"/>
  <c r="M27" i="3" s="1"/>
  <c r="D18" i="11"/>
  <c r="E18" i="11" s="1"/>
  <c r="I18" i="3" s="1"/>
  <c r="I29" i="3" l="1"/>
  <c r="K19" i="3"/>
  <c r="M19" i="3" s="1"/>
  <c r="E29" i="11"/>
  <c r="K18" i="3" l="1"/>
  <c r="J29" i="3"/>
  <c r="M18" i="3" l="1"/>
  <c r="M29" i="3" s="1"/>
  <c r="G12" i="2" s="1"/>
  <c r="E12" i="32" s="1"/>
  <c r="K29" i="3"/>
  <c r="G11" i="2" s="1"/>
  <c r="E11" i="32" s="1"/>
  <c r="G14" i="2" l="1"/>
  <c r="E14" i="32" s="1"/>
</calcChain>
</file>

<file path=xl/sharedStrings.xml><?xml version="1.0" encoding="utf-8"?>
<sst xmlns="http://schemas.openxmlformats.org/spreadsheetml/2006/main" count="855" uniqueCount="546">
  <si>
    <t>Appalachian Regional Commission (ARC) Truck Parking Benefit-Cost Analysis Spreadsheet Tool</t>
  </si>
  <si>
    <t>---------------------------------------------------------------------------------------------------------------------------------------------------------------------------------------------------------------</t>
  </si>
  <si>
    <t>What is the ARC Truck Parking Benefit-Cost Analysis Spreadsheet Tool?</t>
  </si>
  <si>
    <t>The ARC Truck Parking Benefit-Cost Analysis (BCA) Spreadsheet Tool is a specialized resource developed as part of the Appalachian Region Truck Parking Study. This tool provides ARC member agencies with a tailored template for conducting benefit-cost analyses of truck parking-related projects. It incorporates truck parking-specific parameters derived from industry research and features a systematic approach for calculating benefits in line with the 2024 Update of the USDOT Benefit-Cost Analysis Guidance. This template has been utilized successfully in multiple federal competitive discretionary grant applications.</t>
  </si>
  <si>
    <t>Resource: USDOT Benefit-Cost Analysis Guidance for Discretionary Grant Programs (2024 Update)</t>
  </si>
  <si>
    <t>BCA Demonstration: a Hypothetical Truck Parking Information Management System (TPIMS) Project</t>
  </si>
  <si>
    <t>For illustrative purposes, the tool demonstrates the BCA calculation process for a hypothetical deployment of a Truck Parking Information Management System (TPIMS) at an existing truck parking facility. This segment was chosen in consultation with the steering committee of the Appalachian Region Truck Parking Study and is used solely for demonstration. The hypothetical project is intended to demonstrate the BCA tool and is for illustrative purposes only.</t>
  </si>
  <si>
    <t>Hypothetical Project Analysis Results</t>
  </si>
  <si>
    <t>This hypothetical implementation of TPIMS at an existing truck parking facility is projected to generate significant value, with an estimated $126,000 in benefits over a 10-year service period (discounted to 2022 dollars), against a cost of approximately $42,000 (also discounted to 2022 dollars) spread over three years. This results in a benefit-cost ratio of 3. Sensitivity analysis further confirms the hypothetical project’s robustness, with a viable benefit-cost ratio ranging between 1.8 and 4 under various assumption adjustments.</t>
  </si>
  <si>
    <t>What You Need to Use this Tool</t>
  </si>
  <si>
    <t>To use this spreadsheet for other TPIMS-related projects, you need</t>
  </si>
  <si>
    <t>•	  Understanding of the project and the problem it is intended to solve (e.g., project scope such as number of truck parking spaces that will be instrumented with TPIMS technology or other improvements).</t>
  </si>
  <si>
    <t>•	  The estimated costs of the project.</t>
  </si>
  <si>
    <t>•	  Information needed to estimate the benefits of the project (e.g., traffic crash data along and near the corridor, projected growth in truck parking needs, etc.).</t>
  </si>
  <si>
    <t>Users should update the information in the following sheets accordingly:</t>
  </si>
  <si>
    <t>•	  D. Capital Costs</t>
  </si>
  <si>
    <t>•	  E. O&amp;M Costs</t>
  </si>
  <si>
    <t>•	  F. Parameters &amp; Assumptions</t>
  </si>
  <si>
    <t>•	   Appendix  1. Crash Summary</t>
  </si>
  <si>
    <t>Using this tool for a truck parking capacity expansion project</t>
  </si>
  <si>
    <t>For projects involving truck parking capacity expansion or new parking facility construction (capacity projects), users can refer to the "BCA_Truck Parking Capacity Projects.xlsx" Excel file.</t>
  </si>
  <si>
    <t>Navigation</t>
  </si>
  <si>
    <t>•  Tool overview sheet</t>
  </si>
  <si>
    <t>•  	Summary, final calculations, and sensitivity analysis results sheets</t>
  </si>
  <si>
    <t>•  	Capital and operation/maintenance costs input sheets</t>
  </si>
  <si>
    <t>•  	Parameters &amp; assumptions sheet</t>
  </si>
  <si>
    <t>•  	Benefits sheets</t>
  </si>
  <si>
    <t>•  	Appendices</t>
  </si>
  <si>
    <t>-------------------------------------------------------------------------------------------------------------------------------------------------------------------------------------------------------------</t>
  </si>
  <si>
    <t>Comparison with USDOT’s BCA Template</t>
  </si>
  <si>
    <t>The USDOT offers a generic Benefit-Cost Analysis Spreadsheet Template for Discretionary Grant Programs,  which shares foundational principles with the ARC Truck Parking Benefit-Cost Analysis Spreadsheet Tool, such as the treatment of baselines, alternatives, inflation adjustments, discounting, and analysis periods, and incorporates parameters from Appendix A of the USDOT BCA guidance document. However, the ARC tool provides more direct value to ARC member agencies by focusing specifically on truck parking-related project benefits. It integrates benefit estimation steps directly into the spreadsheet formulas, streamlining the process and making it particularly tailored to truck parking-related projects.</t>
  </si>
  <si>
    <t>Resource: USDOT Benefit-Cost Analysis Spreadsheet Template</t>
  </si>
  <si>
    <t>Overall project</t>
  </si>
  <si>
    <t xml:space="preserve">This sheet displays the total discounted benefits and costs and the Benefit/Cost Ratio. </t>
  </si>
  <si>
    <t>The values on this sheet are automatically updated. Users should not modify the values on this sheet.</t>
  </si>
  <si>
    <t>INVESTMENT ANALYSIS</t>
  </si>
  <si>
    <t>SUMMARY RESULTS</t>
  </si>
  <si>
    <t xml:space="preserve">Total Discounted Costs ($) </t>
  </si>
  <si>
    <t xml:space="preserve">Total Discounted Benefits ($) </t>
  </si>
  <si>
    <t>Net Present Value ($)</t>
  </si>
  <si>
    <t>Benefit / Cost Ratio:</t>
  </si>
  <si>
    <t>Final Calculations</t>
  </si>
  <si>
    <t xml:space="preserve">This sheet summarizes the final calculations before presenting the aggregated results that are displayed in the Summary sheet. </t>
  </si>
  <si>
    <t xml:space="preserve">The values on this sheet are automatically updated. </t>
  </si>
  <si>
    <t xml:space="preserve">Note if a project's benefit are evaluated for more than 10 years, add more rows in the Operation Period section. If a project takes more/less years for deployment, add/remove rows in the Deployment Period section accordingly. </t>
  </si>
  <si>
    <t>NET PRESENT VALUE -REAL DOLLARS</t>
  </si>
  <si>
    <t>Present Value of User Benefits (Real Dollars)</t>
  </si>
  <si>
    <t>Present</t>
  </si>
  <si>
    <t>Value</t>
  </si>
  <si>
    <t>Safety</t>
  </si>
  <si>
    <t xml:space="preserve">Travel Time Savings </t>
  </si>
  <si>
    <t>Environmental Benefits</t>
  </si>
  <si>
    <t>Vehicle Operating</t>
  </si>
  <si>
    <t>State of Good</t>
  </si>
  <si>
    <t>of Total</t>
  </si>
  <si>
    <t>Net</t>
  </si>
  <si>
    <t>Year</t>
  </si>
  <si>
    <t>Benefits</t>
  </si>
  <si>
    <t>Reduced Crashes</t>
  </si>
  <si>
    <t xml:space="preserve"> Truck Driver Productivity Improvements</t>
  </si>
  <si>
    <t xml:space="preserve"> Crash-Related Emission Savings</t>
  </si>
  <si>
    <t>Emission Benefits from Truck Driver Productivity Improvements</t>
  </si>
  <si>
    <t xml:space="preserve"> Cost Savings</t>
  </si>
  <si>
    <t xml:space="preserve"> Repair Benefits</t>
  </si>
  <si>
    <t>O &amp; M Costs</t>
  </si>
  <si>
    <t>Benefits
Real Dollars</t>
  </si>
  <si>
    <t>Costs
Real Dollars</t>
  </si>
  <si>
    <t>Present Value
Real Dollars</t>
  </si>
  <si>
    <t>Calendar year</t>
  </si>
  <si>
    <t>Deployment Period</t>
  </si>
  <si>
    <t>Operation Period</t>
  </si>
  <si>
    <t>Total</t>
  </si>
  <si>
    <t>Note: Operation and Maintenance costs are considered as a form of "disbenefits", per USDOT's BCA guidance.</t>
  </si>
  <si>
    <t>Sensitivity Analysis Results Summary</t>
  </si>
  <si>
    <t>This sheet summarizes the results from sensitivity analysis.</t>
  </si>
  <si>
    <t>Users should copy and paste the results from "Summary" sheet for each sensitivity scenario run after applying the specified changes to the sensitivity parameters</t>
  </si>
  <si>
    <t>Scenarios</t>
  </si>
  <si>
    <t>Baseline</t>
  </si>
  <si>
    <t>Time savings per parking space (hours)</t>
  </si>
  <si>
    <t>Miles saved per parking space (miles)</t>
  </si>
  <si>
    <t>Crash reduction rate</t>
  </si>
  <si>
    <t>Exclude safety benefits on neighboring roadways</t>
  </si>
  <si>
    <t>Project costs</t>
  </si>
  <si>
    <t>-25%</t>
  </si>
  <si>
    <t>+25%</t>
  </si>
  <si>
    <t>max</t>
  </si>
  <si>
    <t>Washington</t>
  </si>
  <si>
    <t xml:space="preserve">Life-Cycle Costs ($) </t>
  </si>
  <si>
    <t xml:space="preserve">Life-Cycle Benefits ( $) </t>
  </si>
  <si>
    <t>California</t>
  </si>
  <si>
    <t>Oregon</t>
  </si>
  <si>
    <t>min</t>
  </si>
  <si>
    <t>Sensitivity parameters:</t>
  </si>
  <si>
    <t>Adjustments to run scenario:</t>
  </si>
  <si>
    <t>Low (-25%)</t>
  </si>
  <si>
    <t>High (+25%)</t>
  </si>
  <si>
    <t>Unit</t>
  </si>
  <si>
    <t>"Parameters &amp; Assumptions" Cell F35 +/- 25%</t>
  </si>
  <si>
    <t>hours</t>
  </si>
  <si>
    <t>"Parameters &amp; Assumptions" Cell F37 +/- 25%</t>
  </si>
  <si>
    <t>miles</t>
  </si>
  <si>
    <t>Crash reduction rate - fatigue-related crashes</t>
  </si>
  <si>
    <t>"Parameters &amp; Assumptions" Cells F59:G59 +/- 25%</t>
  </si>
  <si>
    <t>%</t>
  </si>
  <si>
    <t>Crash reduction rate - Illegal parking-related crashes</t>
  </si>
  <si>
    <t>"Parameters &amp; Assumptions" Cells F60:G60 +/- 25%</t>
  </si>
  <si>
    <t>"Parameters &amp; Assumptions" Cells G58:G59 set = 0</t>
  </si>
  <si>
    <t>Baseline - Constant Dollars (2022$)</t>
  </si>
  <si>
    <t>"Project Costs" Cell J8 +25%</t>
  </si>
  <si>
    <t>"Project Costs" Cell J9 +25%</t>
  </si>
  <si>
    <t>"Project Costs" Cell J10 +25%</t>
  </si>
  <si>
    <t>Note: to perform sensitivity analysis on project costs and see the results on the NPV, BCR and other metrics at the state level, including the O&amp;M costs, need to be adjusted</t>
  </si>
  <si>
    <t>Capital Costs</t>
  </si>
  <si>
    <t>This sheet presents estimated project deployment and implementation costs. Note, ongoing operations and maintenance costs are not included here, but in the O&amp;M Costs Sheet</t>
  </si>
  <si>
    <t xml:space="preserve">In this sheet,  except for Previously Incurred Costs, Capital Costs by category for each year should be entered as year-of-expenditure dollars. The workbook will automatically apply discounting to all costs and benefits for you. </t>
  </si>
  <si>
    <t>Note that the Cost Category 1-5 are generic cost categories that users can add/remove categories or update with cost types such as preliminary engineering costs, administration costs, etc., as appropriate to the project under analysis.</t>
  </si>
  <si>
    <t xml:space="preserve">Users should update the cost estimates and the cost category names. </t>
  </si>
  <si>
    <t>Adjust the deployment period by adding/removing rows in the Deployment Period section. Make sure the same formulas are applied to the new rows as all other years.  Update the rows in the B. Final Calculations sheet acordingly.</t>
  </si>
  <si>
    <t>Calendar Year</t>
  </si>
  <si>
    <t>Cost Category 1</t>
  </si>
  <si>
    <t>Cost Category 2</t>
  </si>
  <si>
    <t>Cost Category 3</t>
  </si>
  <si>
    <t>Cost Category 4</t>
  </si>
  <si>
    <t>Cost Category 5</t>
  </si>
  <si>
    <t>Contingency</t>
  </si>
  <si>
    <t>Capital Costs Present Value</t>
  </si>
  <si>
    <t>Year-of-Expenditure</t>
  </si>
  <si>
    <t>Previously Incurred Costs in Current Dollar Year (2022 $)</t>
  </si>
  <si>
    <t xml:space="preserve">Notes: </t>
  </si>
  <si>
    <t xml:space="preserve">The estimated capital cost for instrumenting a parking site with truck parking information system technology is $7,800 per spot, based on FHWA's Tool for Operations Benefit/Cost (TOPS-BC): Version 4. </t>
  </si>
  <si>
    <t xml:space="preserve">This unit cost is for observing each truck parking bay using Wireless in-ground Detection Sensors (WDS), CCTV coverage of truck parking lot. </t>
  </si>
  <si>
    <t>There is one rest area along the I-68 corridor (between Orleans Rd NE and I-70), the Sideling Hill Welcome Center. This rest area has 5 spaces that could be instrumented with the TPIMS technology.</t>
  </si>
  <si>
    <t>Therefore the unit cost of $7,800 per parking spot is multiplied by 5 to arrive at $39,000 for the total capital costs.</t>
  </si>
  <si>
    <t>Since the unit cost estimates provided by the FHWA's TOPS-BC tool uses 2010 dollars, an inflation adjustment value of 1.32 is applied to bring the cost estimates to 2022 dollar values, which brings the total to $51,480.</t>
  </si>
  <si>
    <t>The inflation adjustment value to bring 2010 dollars to 2022 dollars is sourced from Table A-7 in the USDOT BCA Guidance Document</t>
  </si>
  <si>
    <t>In this example, the total capital cost is divided by five cost categories that could include costs for detector/sensor, CCTV cameras, dynamic message sings, network equipment, and other non-engineering costs. Users should adjust the cost categories and the cost amounts based on actual cost estimates</t>
  </si>
  <si>
    <t>This example also includes a 10% contingency cost to account for any unforeseen costs. Users should update based on the project's contingency reserve accordingly.</t>
  </si>
  <si>
    <t>This example does not assume any previously incurred costs. Users should enter any previously incurred costs that should and could be included based on the latest USDOT BCA Guide.</t>
  </si>
  <si>
    <t xml:space="preserve">Resource: FHWA Tool for Operations Benefit/Cost (TOPS-BC): Version 4. </t>
  </si>
  <si>
    <t>Operation and Maintenance Costs</t>
  </si>
  <si>
    <t>This sheet presents estimated ongoing operations and maintenance costs post deployment.</t>
  </si>
  <si>
    <t>All values entered into input cells in this sheet should be entered as undiscounted Current Dollar Year values. The template will automatically apply discounting to all costs and benefits</t>
  </si>
  <si>
    <t xml:space="preserve">Users should update the operation and maintenance cost estimates for the no-build and build conditions. </t>
  </si>
  <si>
    <t>Adjust the operation period by adding/removing rows in the Operation Period section. Make sure the same formulas are applied to the new rows as all other years.  Update the rows in the B. Final Calculations sheet acordingly.</t>
  </si>
  <si>
    <t xml:space="preserve">O&amp;M Costs </t>
  </si>
  <si>
    <t>No Build O&amp;M Costs</t>
  </si>
  <si>
    <t>Build O&amp;M Costs</t>
  </si>
  <si>
    <t>Net Change in O&amp;M Costs</t>
  </si>
  <si>
    <t>O &amp; M Costs Present Value</t>
  </si>
  <si>
    <t>Parameters &amp; Assumptions</t>
  </si>
  <si>
    <t>This page contains all assumptions, parameters, and economic rate values used in the analysis.</t>
  </si>
  <si>
    <t>Users should update the parameters related to project construction/operation periods and others in the General Economic Parameters section</t>
  </si>
  <si>
    <t xml:space="preserve">Users should update the parameters related to project scope in the Facilities Characteristics section. </t>
  </si>
  <si>
    <t>Other parameters should be updated in accordance with the latest USDOT BCA guidance and other relevant research.</t>
  </si>
  <si>
    <t>Information Dissemination Methods by State</t>
  </si>
  <si>
    <t>Sources/Notes</t>
  </si>
  <si>
    <t>General Economic Parameters</t>
  </si>
  <si>
    <t>Instructions</t>
  </si>
  <si>
    <t>Year of Current Dollars for Model</t>
  </si>
  <si>
    <t>&lt;- Update this number based on the latest version of USDOT's Benefit-Cost Analysis Guidance for Discretionary Grant Programs</t>
  </si>
  <si>
    <t>1 (page 12), User Input</t>
  </si>
  <si>
    <t>Year 1 of Project Construction</t>
  </si>
  <si>
    <t>&lt;- For project development costs prior to the model base year, enter into the "Capital Costs" tab in the cell for previously incurred costs</t>
  </si>
  <si>
    <t>User Input</t>
  </si>
  <si>
    <t>Length of Construction/Project Development Period (in Years)</t>
  </si>
  <si>
    <t>&lt;- Adjust the number of rows in the Capital Costs table in the "Capital Costs" tab if project development period is different from the default of 3</t>
  </si>
  <si>
    <t>Year 1 of Project Operations</t>
  </si>
  <si>
    <t>&lt;- Confirm this is Year 1 of project operations</t>
  </si>
  <si>
    <t>Operational Period Length</t>
  </si>
  <si>
    <t>&lt;- Adjust the number of rows in the O&amp;M Costs table in the "O&amp;M Costs" tab, the benefits calculation tables in each of the benefit tab, as well as the B. Final Calculations tab, if project operation period is different from the default of 10, which is typically recommended for truck parking information management systems</t>
  </si>
  <si>
    <t>Final Analysis Year</t>
  </si>
  <si>
    <t>&lt;- Confirm this is the final analysis year</t>
  </si>
  <si>
    <t>Annual Inflation Rate Used to Convert Constant Dollars to Year-of-Expenditure Dollars</t>
  </si>
  <si>
    <t>&lt;- This is used in the Capital Costs calculation sheet</t>
  </si>
  <si>
    <t>Real Discount Rate</t>
  </si>
  <si>
    <t>1 (page 12). Note that this value, sourced from USDOT's BCA guidance released on December 5, 2023, is lower than the 7 percent discount rate recommended in DOT's previous BCA Guidance documents published prior to December 2023.</t>
  </si>
  <si>
    <t>CO2 Emission Reduction Benefit Discount Rate</t>
  </si>
  <si>
    <t>1 (page 12). Note that this value, sourced from USDOT's BCA guidance released on December 5, 2023, is lower than the 3 percent discount rate recommended in DOT's previous BCA Guidance documents published prior to December 2023.</t>
  </si>
  <si>
    <t>Facility Characteristics</t>
  </si>
  <si>
    <t>Number of Spaces Instrumented - Urban</t>
  </si>
  <si>
    <t xml:space="preserve">&lt;-Update this value based on the actual project scope. </t>
  </si>
  <si>
    <t xml:space="preserve">User input. The default value is an assumption for a hypothetical project on the I-68 corridor (between Orleans Rd NE and I-70) in MD. </t>
  </si>
  <si>
    <t>Number of Spaces Instrumented - Rural</t>
  </si>
  <si>
    <t xml:space="preserve">User input. The default data is an assumption for a hypothetical project on the I-68 corridor (between Orleans Rd NE and I-70) in MD. </t>
  </si>
  <si>
    <t>Peak Utilization Rate</t>
  </si>
  <si>
    <t>&lt;-Update this value based on corridor truck parking characteristics</t>
  </si>
  <si>
    <t>User input.  Default data is for the I-68 corridor in Maryland using Trucker Path truck parking utilization analysis</t>
  </si>
  <si>
    <t>Annual truck parking demand growth rate</t>
  </si>
  <si>
    <t>User input.  Default data is for freight traffic growth in Maryland sourced from the Maryland State Freight Plan.</t>
  </si>
  <si>
    <t>Peak Utilization Growth Rate</t>
  </si>
  <si>
    <t>User input</t>
  </si>
  <si>
    <t>Number of Peak Periods</t>
  </si>
  <si>
    <t>User input, Default data is for the I-68 corridor in Maryland using Trucker Path truck parking utilization analysis</t>
  </si>
  <si>
    <t>Annual Days of Heavy Demand for Parking Spaces</t>
  </si>
  <si>
    <t>2 (Default value in the FHWA TOPS-BC tool)</t>
  </si>
  <si>
    <t>Facility Performance</t>
  </si>
  <si>
    <t>Time savings per parking space (Hours)</t>
  </si>
  <si>
    <t>3 (page 21) The source suggests search times of over 30 minutes-15 minutes is conservatively assumed and 12 miles is calculated based on average truck speeds.</t>
  </si>
  <si>
    <t>Average truck speed (MPH)</t>
  </si>
  <si>
    <t>4 (page 10)</t>
  </si>
  <si>
    <t>Miles Saved per Parking Space (Miles)</t>
  </si>
  <si>
    <t>Calculation</t>
  </si>
  <si>
    <t>Travel Time</t>
  </si>
  <si>
    <t>Hourly Value of Time (Truck Drivers, $)</t>
  </si>
  <si>
    <t>1 (page 40)</t>
  </si>
  <si>
    <t>Hourly Value of Time (General, $)</t>
  </si>
  <si>
    <t>Vehicle Occupancy Rate (Passenger vehicles, all travel)</t>
  </si>
  <si>
    <t>1 (page 41)</t>
  </si>
  <si>
    <t>Estimated Delay Vehicle Hours Per Crash</t>
  </si>
  <si>
    <t>Roadway Type</t>
  </si>
  <si>
    <t>Fatal</t>
  </si>
  <si>
    <t>Injury</t>
  </si>
  <si>
    <t>PDO</t>
  </si>
  <si>
    <t>Urban Interstate</t>
  </si>
  <si>
    <t>Urban Arterial</t>
  </si>
  <si>
    <t>Rural Interstate</t>
  </si>
  <si>
    <t>Rural Arterial</t>
  </si>
  <si>
    <t>Operating</t>
  </si>
  <si>
    <t>Vehicle Operating Costs per Mile (2022 $)</t>
  </si>
  <si>
    <t>Corridor</t>
  </si>
  <si>
    <t>Nearby major roadways</t>
  </si>
  <si>
    <t>Crash Reduction Rate - Fatigue-Related Crashes</t>
  </si>
  <si>
    <t>&lt;- Update these crash reduction rates based on the project detail. For parking expansion or new parking facility project, the crash reduction rate could be higher than the 10% assumed for TPIMS projects. Especially for illegal parking related-crashes, there are studies that use 50% reduction rate.</t>
  </si>
  <si>
    <t>WSDOT I-5 TPIMS INFRA grant application; MAASTO, FDOT and CDOT all assume 10% crash reduction​ in TPIMS grant applications</t>
  </si>
  <si>
    <t>Crash Reduction Rate - Illegal Parking-Related Crashes</t>
  </si>
  <si>
    <t>6, 7</t>
  </si>
  <si>
    <t>Value of Reduced Fatalities and Injuries</t>
  </si>
  <si>
    <t>KABCO Level</t>
  </si>
  <si>
    <t>2022 $</t>
  </si>
  <si>
    <t>&lt;- Update these numbers based on the latest version of USDOT's Benefit-Cost Analysis Guidance for Discretionary Grant Programs</t>
  </si>
  <si>
    <t>1 (page 39)</t>
  </si>
  <si>
    <t>K - Killed</t>
  </si>
  <si>
    <t>A - Incapacitating</t>
  </si>
  <si>
    <t>B - Non-capacitating</t>
  </si>
  <si>
    <t>C - Possible Injury</t>
  </si>
  <si>
    <t>O - No Injury</t>
  </si>
  <si>
    <t>U- Injured (Severity Unknown)</t>
  </si>
  <si>
    <t>Emission</t>
  </si>
  <si>
    <t>Metric ton to short ton conversion</t>
  </si>
  <si>
    <t>Gram to short ton conversion</t>
  </si>
  <si>
    <t>Estimated Emissions per Crash (short tons)</t>
  </si>
  <si>
    <t>5 (page 86)</t>
  </si>
  <si>
    <t>NOx</t>
  </si>
  <si>
    <t>SO2</t>
  </si>
  <si>
    <t>PM2.5</t>
  </si>
  <si>
    <t>CO2</t>
  </si>
  <si>
    <t>Emission Rate (g/mi)</t>
  </si>
  <si>
    <t>SOx</t>
  </si>
  <si>
    <t>See Sheet App_5_Emission Factors</t>
  </si>
  <si>
    <t>Operation Year</t>
  </si>
  <si>
    <t>Emission Monetization</t>
  </si>
  <si>
    <t>1 (page 43)</t>
  </si>
  <si>
    <t>Emission Type</t>
  </si>
  <si>
    <t>State of Good Repair</t>
  </si>
  <si>
    <t>Pavement damage cost per truck ton-mile (2014 $)</t>
  </si>
  <si>
    <t>8 (page 3)</t>
  </si>
  <si>
    <t>Inflation adjustment multiplier (2014 nominal $ to real 2022$)</t>
  </si>
  <si>
    <t>1 (page 44)</t>
  </si>
  <si>
    <t xml:space="preserve">Sources: </t>
  </si>
  <si>
    <t>Benefit Cost Analysis Guidance 2024 Update.pdf (transportation.gov)</t>
  </si>
  <si>
    <t>FHWA TOPS-BC tool (number of peak periods of 1 used for WA as the state does not have this data available)</t>
  </si>
  <si>
    <t>Managing Critical Truck Parking Case Study –Real World Insights from Truck Parking Diaries</t>
  </si>
  <si>
    <t>An Analysis of the Operational Costs of Trucking: 2022 Update (page 10, average speed: 40.24)</t>
  </si>
  <si>
    <t>U.S. DOT FMCSA Delay and Environmental Costs of Truck Crashes, 2013</t>
  </si>
  <si>
    <t>Regional Truck Parking Information and Management Systems have a benefit-to-cost ratio of 4.27. | ITS Deployment Evaluation (dot.gov)</t>
  </si>
  <si>
    <t>The Colorado Truck Parking Information Management System (TPIMS) is projected to have a benefit-to-cost ratio of 7:1. | ITS Deployment Evaluation</t>
  </si>
  <si>
    <t>Congressional Budget Office, Pricing Freight Transport to Account for External Costs (2015), assuming a 60,000-pound average load.</t>
  </si>
  <si>
    <t>Appendix 1 - Crash Summary</t>
  </si>
  <si>
    <t xml:space="preserve">This sheet records the crash data along the corridor. </t>
  </si>
  <si>
    <t>Users should update the Info section to document the crash data source and data years. Users should update the crash numbers in the Crash Summary table</t>
  </si>
  <si>
    <t>Info</t>
  </si>
  <si>
    <t>State</t>
  </si>
  <si>
    <t>MD</t>
  </si>
  <si>
    <t>Corridor Name</t>
  </si>
  <si>
    <t>I-68</t>
  </si>
  <si>
    <t>Crash data years</t>
  </si>
  <si>
    <t>2018, 2019, 2020, 2021</t>
  </si>
  <si>
    <t>Number of crash data years</t>
  </si>
  <si>
    <t>Crash Summary</t>
  </si>
  <si>
    <t>Corridor (including ramps)</t>
  </si>
  <si>
    <t>Urban</t>
  </si>
  <si>
    <t>Rural</t>
  </si>
  <si>
    <t xml:space="preserve">Truck Fatigue-Related Crashes </t>
  </si>
  <si>
    <t xml:space="preserve">Illegal Parking-Related Crashes </t>
  </si>
  <si>
    <t>Truck Fatigue-Related Crashes</t>
  </si>
  <si>
    <t>Illegal Parking-Related Crashes</t>
  </si>
  <si>
    <t>K - Fatal Injury</t>
  </si>
  <si>
    <t>A - Incapacitating (Suspected Serious Injury)</t>
  </si>
  <si>
    <t>B - Non-capacitating (Suspected Minor Injury)</t>
  </si>
  <si>
    <t>O - No Injury (Property Damage Only -  No Apparent Injury)</t>
  </si>
  <si>
    <t>Note: The values used for the I-68 corridor (between Orleans Rd NE and I-70) in MD in this demonstration example uses the average crash rate per mile for the entire I-68 in MD due to the low crash records in the short segment of study.</t>
  </si>
  <si>
    <t>Count</t>
  </si>
  <si>
    <t>Share</t>
  </si>
  <si>
    <t>Fatigue</t>
  </si>
  <si>
    <t>Illegal parking</t>
  </si>
  <si>
    <t>Safety Benefits</t>
  </si>
  <si>
    <t>This sheet calculates safety benefits from reduced truck fatigue-related and illegal parking-related crashes along the Corridor and major nearby roadways.</t>
  </si>
  <si>
    <t>Note if a project's benefits are evaluated for more than 10 years, add more rows in Table S-1. Make sure the same formulas are applied to the new rows as all other years.</t>
  </si>
  <si>
    <t>Formulas:</t>
  </si>
  <si>
    <t>Benefits from Type K/A/B/C/O/Unknown Crashes Avoided(Tables S-1) =   ∑(Benefits from Type K/A/B/C/O/Unknown Crashes Avoided by by Roadway Type (App_4_Annual Crash Benefits))</t>
  </si>
  <si>
    <t>Benefits from Type K/A/B/C/O/Unknown Crashes Avoided by by Roadway Type  (Sheet App_4_Annual Crash Benefits)  =  ∑(Average Annual Crashes Reduced by type (Sheet App_2_Annual Crash Reduction_A) * Value of Reduced Fatalities and Injuries (Sheet Parameters &amp; Assumptions, section Safety))</t>
  </si>
  <si>
    <t>Average Annual Crashes Reduced by Type (Sheet App_2_Annual Crash Reduction_A)  = Average Total Crashes Reduced by Type (Sheet App_2_Annual Crash Reduction_A) / Number of crash data years</t>
  </si>
  <si>
    <t>Average Total Crashes Reduced by Type (Sheet App_2_Annual Crash Reduction_A)  =∑(Crashes by Crash, Severity, and Roadway Type (Sheet App_1_Crash Summary)* Crash Reduction Rate by Crash and Roadway Type (Sheet Parameters &amp; Assumptions, section Safety))</t>
  </si>
  <si>
    <t>Table S-1: Safety Benefits</t>
  </si>
  <si>
    <t/>
  </si>
  <si>
    <t>Calander Year</t>
  </si>
  <si>
    <t>Benefits from Type K Crashes Avoided</t>
  </si>
  <si>
    <t>Benefits from Type A Crashes Avoided</t>
  </si>
  <si>
    <t>Benefits from Type B Crashes Avoided</t>
  </si>
  <si>
    <t>Benefits from Type C Crashes Avoided</t>
  </si>
  <si>
    <t>Benefits from Type O Crashes Avoided</t>
  </si>
  <si>
    <t>Benefits from Type U Crashes Avoided</t>
  </si>
  <si>
    <t>Constant Dollars</t>
  </si>
  <si>
    <t>Present Value</t>
  </si>
  <si>
    <t>Note The calculation of safety benefits employs a conservative approach. While an argument could be made for increasing benefits over time due to potential growth in truck traffic, this analysis assumes constant undiscounted safety benefits each year. This approach, based on historical crash data, likely understates future benefits but provides a credible, defensible baseline. If the project proves worthwhile under these conservative assumptions, it's likely to be even more beneficial in reality. This method ensures the project's impact is not overestimated, adding credibility to the analysis.</t>
  </si>
  <si>
    <t>Travel Time Savings - Reduced Crashes</t>
  </si>
  <si>
    <t>This sheet calculates cost savings to the public using the corridor from the reduced crashes</t>
  </si>
  <si>
    <t>Note if a project's benefits are evaluated for more than 10 years, add more rows in Table TA-5. Make sure the same formulas are applied to the new rows as all other years.</t>
  </si>
  <si>
    <t>Total Travel Time Savings = Crash-Related Travel-Time Benefits + Truck Driver Travel-Time Benefits Due to Knowledge of Space Availability (Sheet Travel Time Savings_B)</t>
  </si>
  <si>
    <t xml:space="preserve">Crash-Related Travel-Time Benefits (Table TA-5) = Urban Crash-Related Travel Time Benefits (Interstates/Arterials) (Table TA-4) + Rural Crash-Related Travel Time Benefits (Interstates/Arterials) (Table TA-4) </t>
  </si>
  <si>
    <t>Urban/Rural Crash-Related Travel Time Benefit (Table TA-4) =  Urban/Rural Crash-Related Person Hours Delay Reduced (Table TA-3) * Hourly Value of Time (Sheet Parameters &amp; Assumptions, section Travel Time)</t>
  </si>
  <si>
    <t>Urban/Rural Crash-Related Person Hours Delay Reduced (Table TA-3) =  Urban/Rural Crash-Related Vehicle Hours Delay Reduced (Table TA-2) * Vehicle Occupancy Rate (Sheet Parameters &amp; Assumptions, VOR)</t>
  </si>
  <si>
    <t>Urban/Rural Crash-Related Delay Reduced (Table TA-2) =  ∑ (Delay Vehicle Hours per Crash Type (Sheet Parameters &amp; Assumptions, section Travel Time) * Annual Crashes Reduced by Crash and Roadway Type (Table TA-1))</t>
  </si>
  <si>
    <t>Annual Crashes Reduced by Crash and Roadway Type (Table TA-2) = Summarized from data in the Sheet App_3_Annual Crash Reduction</t>
  </si>
  <si>
    <t>Table TA-1: Average Annual Reduced Fatigue and Illegal Parking-Related Crashes by Crash Severity and Roadway Type</t>
  </si>
  <si>
    <t>Urban/Rural</t>
  </si>
  <si>
    <t>Fatal (Type K)</t>
  </si>
  <si>
    <t>Injury (Type A, B, C)</t>
  </si>
  <si>
    <t>PDO (Type O)</t>
  </si>
  <si>
    <t>Urban - Interstate</t>
  </si>
  <si>
    <t>Urban - Arterial</t>
  </si>
  <si>
    <t>Rural - Interstate</t>
  </si>
  <si>
    <t>Rural - Arterial</t>
  </si>
  <si>
    <t>Table TA-2: Estimated Annual Vehicle Hours of Delay Saved Due to Reduced Crashes by Severity</t>
  </si>
  <si>
    <t>Table TA-3: Estimated Annual Person Hours of Delay Saved Due to Reduced Crashes by Severity</t>
  </si>
  <si>
    <t>Table TA-4: Estimated Crash-Related Travel Time Benefit</t>
  </si>
  <si>
    <t xml:space="preserve">Table TA-5: Crash-Related Travel-Time Benefits </t>
  </si>
  <si>
    <t>Fatal Crash-Related Travel-Time Benefits</t>
  </si>
  <si>
    <t>Injury Crash-Related Travel-Time Benefits</t>
  </si>
  <si>
    <t>PDO Crash-Related Travel-Time Benefits</t>
  </si>
  <si>
    <t>Travel Time Savings - Truck Driver Productivity Improvements</t>
  </si>
  <si>
    <t>This sheet calculates reduced travel times to truck drivers due to knowledge of space availability​</t>
  </si>
  <si>
    <t>Note if a project's benefits are evaluated for more than 10 years, add more rows in Table TB-3. Make sure the same formulas are applied to the new rows as all other years.</t>
  </si>
  <si>
    <t>Total Travel Time Savings ($) = Crash-Related Travel-Time Benefits ($, Sheet Travel Time Savings_A) + Truck Driver Travel-Time Benefits Due to Knowledge of Space Availability ($)</t>
  </si>
  <si>
    <t>Truck Driver Travel-Time Benefits Due to Knowledge of Space Availability ($, Table TB-3) = Base Annual Urban/Rural Interstate Truck Driver Travel Time Benefits ($, Table TB-2) * (1+Annual Truck Parking Demand Growth Rate (Sheet Parameters &amp; Assumptions, section Facilities Characteristics))* (1+Annual Peak Utilization Growth Rate (Sheet Parameters &amp; Assumptions, section Facilities Characteristics))</t>
  </si>
  <si>
    <t>Base Annual Urban/Rural Interstate Truck Driver Travel Time Benefit ($, Table TB-2) =  Daily Urban/Rural Interstate Truck Driver Reduced Travel Time (Hours, Table TB-1) * Hourly Value of Time (Sheet Parameters &amp; Assumptions, section Travel Time) * Annual Days of Heavy Demand for Parking Spaces (sheet Parameters &amp; Assumptions, section Facility Characteristics)</t>
  </si>
  <si>
    <t>Daily Urban/Rural Interstate Truck Driver Reduced Travel Time (Hours, Table TB-1) = Number of Parking Spaces in Deployed Facilities (Sheet Parameters &amp; Assumptions, section Facility Characteristics) * Utilization Rate  (sheet Parameters &amp; Assumptions, section Facility Characteristics) * Number of Peak Periods (Sheet Parameters &amp; Assumptions, section Facility Characteristics) * Time Savings Per Parking Space (sheet Parameters &amp; Assumptions, section Facility Performance)</t>
  </si>
  <si>
    <t>Note the maximum peak utilization rate is maxed at 100%.</t>
  </si>
  <si>
    <t>Table TB-1: Daily Urban/Rural Interstate Truck Driver Reduced Travel Time (Hours)</t>
  </si>
  <si>
    <t>Table TB-2: Annual Urban/Rural Interstate Truck Driver Travel Time Benefit ($)</t>
  </si>
  <si>
    <t>Table TB-3: Travel Time Savings - Truck Driver Productivity Improvements</t>
  </si>
  <si>
    <t>Utilization rate projection</t>
  </si>
  <si>
    <t>Utilization rate growth rate over the previous year (max capped at 100%)</t>
  </si>
  <si>
    <t>Annual Truck Driver Travel Time Savings</t>
  </si>
  <si>
    <t>Utilization Rate</t>
  </si>
  <si>
    <t>Utilization growth rate</t>
  </si>
  <si>
    <t>Note the maximum peak utilization rate is capped at 100%</t>
  </si>
  <si>
    <t>Environmental Benefits - Crash Reduction-Related Emission Savings</t>
  </si>
  <si>
    <t>This sheet calculates emissions benefits to the public from reduced crashes</t>
  </si>
  <si>
    <t>The values on this sheet are automatically updated.</t>
  </si>
  <si>
    <t>Note if a project's benefits are evaluated for more than 10 years, add more rows in Table EA-2. Make sure the same formulas are applied to the new rows as all other years.</t>
  </si>
  <si>
    <t>Total Environmental Benefits= Crash-Related Emission Savings+ Emission Benefits from Truck Driver Productivity Improvements (Sheet Environmental Benefits)</t>
  </si>
  <si>
    <t xml:space="preserve">   Crash-Related Emission Savings (Table EA-2) = Urban Crash-Related Emission Savings (Interstates/Arterials) + Rural Crash-Related Emission Savings (Interstates/Arterials)</t>
  </si>
  <si>
    <t>Urban/Rural Crash-Related Emission Savings ($) = Urban/Rural Crash-Related Emission Reduction (short tons, Table EA-1)  * Emission Monetization Factors ($, Sheet Parameters &amp; Assumptions, section Emission)</t>
  </si>
  <si>
    <t xml:space="preserve">   Urban/Rural Crash-Related Emission Reduction (short tons, Table EA-1) = Estimated Urban/Rural Emissions Per Crash (Sheet Parameters &amp; Assumptions, section Emission) * 
                     Reduced Urban/Rural Crashes (Sheet Travel Time Savings_A, Table TA-1) * Conversion from short tons to metric tons (Sheet Parameters &amp; Assumptions, Section Emission)</t>
  </si>
  <si>
    <t>Table EA-1: Crash-Related Emission Reduction (short tons)</t>
  </si>
  <si>
    <t xml:space="preserve">Table EA-2: Crash Reduction-Related Emission Savings </t>
  </si>
  <si>
    <t>Present Value*</t>
  </si>
  <si>
    <t>* 2% discount rate is used for calculating the present value of CO2 reduction benefits</t>
  </si>
  <si>
    <t>Environmental Benefits - Emission Benefits from Truck Driver Productivity Improvements</t>
  </si>
  <si>
    <t>This sheet calculates emissions benefits from reduced truck travel distance due to drivers' knowledge of space availability​</t>
  </si>
  <si>
    <t>Note if a project's benefits are evaluated for more than 10 years, add more rows in Table EB-7. Make sure the same formulas are applied to the new rows as all other years.</t>
  </si>
  <si>
    <t>Total Environmental Benefits= Crash-Related Emission Savings (Sheet Environmental Benefits_A) + Emission Benefits from Truck Driver Productivity Improvements</t>
  </si>
  <si>
    <t xml:space="preserve">   Emission Reduction Benefits from Truck Driver Productivity Improvements (Table EB-7) =  Emission Reduction from Truck Driver Productivity Improvements (Table EB-4) *  Emission monetarization factors (Sheet Parameters &amp; Assumptions, section Emission) </t>
  </si>
  <si>
    <t xml:space="preserve">   Emission Reduction from Truck Driver Productivity Improvements (Table EB-4, Table EB-5, Table EB-6) = Annual Total Reduced Miles Traveled Due to Knowledge of Space Availability (Table EB-3)  * Truck Emission Rates By Year (Sheet Parameters &amp; Assumptions, section Emission) * Conversion between grams and short tons (sheet Parameters &amp; Assumptions, section Emission)</t>
  </si>
  <si>
    <t>Annual Total Reduced Miles Traveled Due to Knowledge of Space Availability (Table EB-3) = Base Year Total Reduced Miles Traveled Due to Knowledge of Space Availability  (Table EB-2) * (1+Annual Truck Parking Demand Growth Rate (Sheet Parameters &amp; Assumptions, section Facility Characteristics))* (1+Annual Peak Utilization Growth Rate (Sheet Parameters &amp; Assumptions, section Facility Characteristics))</t>
  </si>
  <si>
    <t>Base Year Total Reduced Miles Traveled Due to Knowledge of Space Availability (Table EB-2) =  Daily Truck Driver Reduced Miles Traveled (Table EB-1) * Annual Days of Heavy Demand for Parking Spaces (sheet Parameters &amp; Assumptions, section Facility Characteristics)</t>
  </si>
  <si>
    <t>Daily Truck Driver Reduced Miles Traveled (Table EB-1) = Number of Parking Spaces in Deployed Facilities (Sheet Parameters &amp; Assumptions, section Facility Characteristics) * Utilization Rate (sheet Parameters &amp; Assumptions, section Facility Characteristics) * Number of Peak Periods (Sheet Parameters &amp; Assumptions, section Facility Characteristics)* Daily Average Reduced Miles Traveled Per Parking Space (Sheet Parameters &amp; Assumptions, section Facility Performance)</t>
  </si>
  <si>
    <t>Table EB-1: Daily Truck Driver Reduced Miles Traveled (Miles)</t>
  </si>
  <si>
    <t>Total Reduced Miles Traveled</t>
  </si>
  <si>
    <t>Table EB-2: Base Year Total Truck Driver Reduced Miles Traveled (Miles)</t>
  </si>
  <si>
    <t>Table EB-3: Annual Total Truck Driver Reduced Miles Traveled (Miles)</t>
  </si>
  <si>
    <t>Miles</t>
  </si>
  <si>
    <t>Table EB-4: Annual Emission Reduction from Truck Driver Productivity Improvements (short tons)</t>
  </si>
  <si>
    <t>Table EB-7: Emission Benefits from Truck Driver Productivity Improvements</t>
  </si>
  <si>
    <t>Vehicle Operating Cost Savings</t>
  </si>
  <si>
    <t xml:space="preserve">This sheet calculates truck vehicle operating cost savings from reduced VMT spent searching for truck parking. </t>
  </si>
  <si>
    <t xml:space="preserve">Note the vehicle operating costs considered in this analysis only includes vehicle related costs, such as fuel costs, truck trailer/lease or purchase, repair and maintenance, permits, and licenses, insurances, and tires. </t>
  </si>
  <si>
    <t xml:space="preserve">This benefit category does not include driver wages and benefits, which have been considered in the value of travel time savings from driver productivity improvements due to less time spent looking for parking.  </t>
  </si>
  <si>
    <t>Note if a project's benefits are evaluated for more than 10 years, add more rows in Table VO-1. Make sure the same formulas are applied to the new rows as all other years.</t>
  </si>
  <si>
    <t>Vehicle Operating Cost Savings ($) (Table VO-1) =  Annual Total Reduced Miles Traveled Due to Knowledge of Space Availability (Sheet Environmental Benefits, Table EB-3)  * Vehicle Operating Costs for Truck per Mile (sheet Parameters &amp; Assumptions, section Vehicle Operating)</t>
  </si>
  <si>
    <t>Table VO-1: Vehicle Operating Cost Savings</t>
  </si>
  <si>
    <t>State of Good Repair Benefits</t>
  </si>
  <si>
    <t xml:space="preserve">This sheet calculates savings from reduced pavement damage due to reduced truck VMT spent searching for truck parking </t>
  </si>
  <si>
    <t>Note if a project's benefits are evaluated for more than 10 years, add more rows in Table G-1. Make sure the same formulas are applied to the new rows as all other years.</t>
  </si>
  <si>
    <t xml:space="preserve">State of Good Repair Benefits ($) (Table G-1) = Annual Total Reduced Miles Traveled Due to Knowledge of Space Availability (Sheet Environmental Benefits, Table EB-3)  * Pavement damage cost per truck ton-mile (2022$) </t>
  </si>
  <si>
    <t>Pavement damage cost per truck ton-mile (2021$) = Pavement damage cost per truck ton-mile (2014$, sheet Parameters &amp; Assumptions, section State of Good Repair) * Inflation adjustment multipier (2014 nominal $ to real 2022$, sheet Parameters &amp; Assumptions, section State of Good Repair)</t>
  </si>
  <si>
    <t>Table G-1: State of Good Repair Benefits</t>
  </si>
  <si>
    <t xml:space="preserve">State of Good Repair Benefits </t>
  </si>
  <si>
    <t>Appendix 2 - Annual Crash Reduction</t>
  </si>
  <si>
    <t>This sheet calculates the annual crash reduction for the corridor and the nearby major roadways by crash type and urban/rural.</t>
  </si>
  <si>
    <t>Annual Crash Reduction</t>
  </si>
  <si>
    <t xml:space="preserve">Illegal Parking-Related Crashes  </t>
  </si>
  <si>
    <t xml:space="preserve">Truck Fatigue-Related Crashes  </t>
  </si>
  <si>
    <t>Appendix 3 - Annual Crash Reduction Summarized by Urban/Rural</t>
  </si>
  <si>
    <t>This sheet summarizes the annual crash reduction for the corridor and the nearby major roadways by urban/rural.</t>
  </si>
  <si>
    <t xml:space="preserve">Annual Crash Reduced </t>
  </si>
  <si>
    <t>U-Severity Unknown</t>
  </si>
  <si>
    <t>Appendix 4 - Annual Crash Reduction Benefits</t>
  </si>
  <si>
    <t>This sheet calculates the monetary values of estimated crash reduction</t>
  </si>
  <si>
    <t xml:space="preserve">Annual Crash Reduction Benefits ($) </t>
  </si>
  <si>
    <t>Appendix 5 - Emission Factors</t>
  </si>
  <si>
    <t>This sheet contains the emission factors and the data source</t>
  </si>
  <si>
    <t>HIGHWAY EMISSIONS FACTORS (g/mi)</t>
  </si>
  <si>
    <t>Model Year 2024</t>
  </si>
  <si>
    <t>Model Year 2044</t>
  </si>
  <si>
    <t>Speed</t>
  </si>
  <si>
    <t>CO</t>
  </si>
  <si>
    <t>NOX</t>
  </si>
  <si>
    <t>PM10</t>
  </si>
  <si>
    <t>SOX</t>
  </si>
  <si>
    <t>VOC</t>
  </si>
  <si>
    <t>year</t>
  </si>
  <si>
    <t xml:space="preserve">Source:  </t>
  </si>
  <si>
    <t>CalTrans SB-1 Emissions Calculator, using emission factor for average truck speed at 40.24 MPH</t>
  </si>
  <si>
    <t>An Analysis of the Operational Costs of Trucking: 2022 Update (average speed: 40.24 MPH)</t>
  </si>
  <si>
    <t>Emission factors for 2025-2044 are extrapolated using 2024 and 2044 emission factors.</t>
  </si>
  <si>
    <t>Parameter name</t>
  </si>
  <si>
    <t>Look up in sheet Parameters &amp; Assumptions</t>
  </si>
  <si>
    <t>CO2BenefitDiscountRate</t>
  </si>
  <si>
    <t>='Parameters &amp; Assumptions'!$F$20</t>
  </si>
  <si>
    <t>CO2RuralArt</t>
  </si>
  <si>
    <t>='Parameters &amp; Assumptions'!$I$80</t>
  </si>
  <si>
    <t>CO2RuralI5</t>
  </si>
  <si>
    <t>='Parameters &amp; Assumptions'!$I$79</t>
  </si>
  <si>
    <t>CO2UrbanArt</t>
  </si>
  <si>
    <t>='Parameters &amp; Assumptions'!$I$78</t>
  </si>
  <si>
    <t>CO2UrbanCorridor</t>
  </si>
  <si>
    <t>='Parameters &amp; Assumptions'!$I$77</t>
  </si>
  <si>
    <t>CrashDelayRuralArterFatal</t>
  </si>
  <si>
    <t>='Parameters &amp; Assumptions'!$F$50</t>
  </si>
  <si>
    <t>CrashDelayRuralArterInjury</t>
  </si>
  <si>
    <t>='Parameters &amp; Assumptions'!$G$50</t>
  </si>
  <si>
    <t>CrashDelayRuralArterPDO</t>
  </si>
  <si>
    <t>='Parameters &amp; Assumptions'!$H$50</t>
  </si>
  <si>
    <t>CrashDelayRuralInterFatal</t>
  </si>
  <si>
    <t>='Parameters &amp; Assumptions'!$F$49</t>
  </si>
  <si>
    <t>CrashDelayRuralInterInjury</t>
  </si>
  <si>
    <t>='Parameters &amp; Assumptions'!$G$49</t>
  </si>
  <si>
    <t>CrashDelayRuralInterPDO</t>
  </si>
  <si>
    <t>='Parameters &amp; Assumptions'!$H$49</t>
  </si>
  <si>
    <t>CrashDelayUrbanArterFatal</t>
  </si>
  <si>
    <t>='Parameters &amp; Assumptions'!$F$48</t>
  </si>
  <si>
    <t>CrashDelayUrbanArterInjury</t>
  </si>
  <si>
    <t>='Parameters &amp; Assumptions'!$G$48</t>
  </si>
  <si>
    <t>CrashDelayUrbanArterPDO</t>
  </si>
  <si>
    <t>='Parameters &amp; Assumptions'!$H$48</t>
  </si>
  <si>
    <t>CrashDelayUrbanInterFatal</t>
  </si>
  <si>
    <t>='Parameters &amp; Assumptions'!$F$47</t>
  </si>
  <si>
    <t>CrashDelayUrbanInterInjury</t>
  </si>
  <si>
    <t>='Parameters &amp; Assumptions'!$G$47</t>
  </si>
  <si>
    <t>CrashDelayUrbanInterPDO</t>
  </si>
  <si>
    <t>='Parameters &amp; Assumptions'!$H$47</t>
  </si>
  <si>
    <t>CrashReducFatigueCorridor</t>
  </si>
  <si>
    <t>='Parameters &amp; Assumptions'!$F$59</t>
  </si>
  <si>
    <t>CrashReducFatigueNearby</t>
  </si>
  <si>
    <t>='Parameters &amp; Assumptions'!$G$59</t>
  </si>
  <si>
    <t>CrashReducIllegalCorridor</t>
  </si>
  <si>
    <t>='Parameters &amp; Assumptions'!$F$60</t>
  </si>
  <si>
    <t>CrashReducIllegalNearby</t>
  </si>
  <si>
    <t>='Parameters &amp; Assumptions'!$G$60</t>
  </si>
  <si>
    <t>CurrentDollarYear</t>
  </si>
  <si>
    <t>='Parameters &amp; Assumptions'!$F$12</t>
  </si>
  <si>
    <t>Gram_Ton</t>
  </si>
  <si>
    <t>='Parameters &amp; Assumptions'!$F$74</t>
  </si>
  <si>
    <t>HeavyDemandDays</t>
  </si>
  <si>
    <t>='Parameters &amp; Assumptions'!$F$30</t>
  </si>
  <si>
    <t>HourSavedPerSpace</t>
  </si>
  <si>
    <t>='Parameters &amp; Assumptions'!$F$35</t>
  </si>
  <si>
    <t>HourSavingPerSpace</t>
  </si>
  <si>
    <t>InflationAdjustmentMultiplier</t>
  </si>
  <si>
    <t>='Parameters &amp; Assumptions'!$F$139</t>
  </si>
  <si>
    <t>Metric_Ton</t>
  </si>
  <si>
    <t>='Parameters &amp; Assumptions'!$F$73</t>
  </si>
  <si>
    <t>MileSavedPerSpace</t>
  </si>
  <si>
    <t>='Parameters &amp; Assumptions'!$F$37</t>
  </si>
  <si>
    <t>NOXRuralArt</t>
  </si>
  <si>
    <t>='Parameters &amp; Assumptions'!$F$80</t>
  </si>
  <si>
    <t>NOXRuralCorridor</t>
  </si>
  <si>
    <t>='Parameters &amp; Assumptions'!$F$79</t>
  </si>
  <si>
    <t>NOXUrbanArt</t>
  </si>
  <si>
    <t>='Parameters &amp; Assumptions'!$F$78</t>
  </si>
  <si>
    <t>NOXUrbanCorridor</t>
  </si>
  <si>
    <t>='Parameters &amp; Assumptions'!$F$77</t>
  </si>
  <si>
    <t>ParkingDemandGrowthRate</t>
  </si>
  <si>
    <t>='Parameters &amp; Assumptions'!$F$27</t>
  </si>
  <si>
    <t>PavementDamagePerTonMile</t>
  </si>
  <si>
    <t>='Parameters &amp; Assumptions'!$F$138</t>
  </si>
  <si>
    <t>PeakPeriods</t>
  </si>
  <si>
    <t>='Parameters &amp; Assumptions'!$F$29</t>
  </si>
  <si>
    <t>PM25RuralArt</t>
  </si>
  <si>
    <t>='Parameters &amp; Assumptions'!$H$80</t>
  </si>
  <si>
    <t>PM25RuralCorridor</t>
  </si>
  <si>
    <t>='Parameters &amp; Assumptions'!$H$79</t>
  </si>
  <si>
    <t>PM25UrbanArt</t>
  </si>
  <si>
    <t>='Parameters &amp; Assumptions'!$H$78</t>
  </si>
  <si>
    <t>PM25UrbanCorridor</t>
  </si>
  <si>
    <t>='Parameters &amp; Assumptions'!$H$77</t>
  </si>
  <si>
    <t>RealDiscountRate</t>
  </si>
  <si>
    <t>='Parameters &amp; Assumptions'!$F$19</t>
  </si>
  <si>
    <t>SO2RuralArt</t>
  </si>
  <si>
    <t>='Parameters &amp; Assumptions'!$G$80</t>
  </si>
  <si>
    <t>SO2RuralCorridor</t>
  </si>
  <si>
    <t>='Parameters &amp; Assumptions'!$G$79</t>
  </si>
  <si>
    <t>SO2UrbanArt</t>
  </si>
  <si>
    <t>='Parameters &amp; Assumptions'!$G$78</t>
  </si>
  <si>
    <t>SO2UrbanCorridor</t>
  </si>
  <si>
    <t>='Parameters &amp; Assumptions'!$G$77</t>
  </si>
  <si>
    <t>SpacesRural</t>
  </si>
  <si>
    <t>='Parameters &amp; Assumptions'!$F$25</t>
  </si>
  <si>
    <t>SpacesUrbanCorridor</t>
  </si>
  <si>
    <t>='Parameters &amp; Assumptions'!$F$24</t>
  </si>
  <si>
    <t>TimeSavingPerSpace</t>
  </si>
  <si>
    <t>TimeValueGeneral</t>
  </si>
  <si>
    <t>='Parameters &amp; Assumptions'!$F$43</t>
  </si>
  <si>
    <t>TimeValueTruck</t>
  </si>
  <si>
    <t>='Parameters &amp; Assumptions'!$F$42</t>
  </si>
  <si>
    <t>UtilizationCorridor</t>
  </si>
  <si>
    <t>='Parameters &amp; Assumptions'!$F$26</t>
  </si>
  <si>
    <t>Value_A</t>
  </si>
  <si>
    <t>='Parameters &amp; Assumptions'!$F$64</t>
  </si>
  <si>
    <t>Value_B</t>
  </si>
  <si>
    <t>='Parameters &amp; Assumptions'!$F$65</t>
  </si>
  <si>
    <t>Value_C</t>
  </si>
  <si>
    <t>='Parameters &amp; Assumptions'!$F$66</t>
  </si>
  <si>
    <t>Value_K</t>
  </si>
  <si>
    <t>='Parameters &amp; Assumptions'!$F$63</t>
  </si>
  <si>
    <t>Value_O</t>
  </si>
  <si>
    <t>='Parameters &amp; Assumptions'!$F$67</t>
  </si>
  <si>
    <t>Value_U</t>
  </si>
  <si>
    <t>='Parameters &amp; Assumptions'!$F$68</t>
  </si>
  <si>
    <t>Value_U1</t>
  </si>
  <si>
    <t>VehilceOperatingCostPerMile</t>
  </si>
  <si>
    <t>='Parameters &amp; Assumptions'!$F$54</t>
  </si>
  <si>
    <t>VOR</t>
  </si>
  <si>
    <t>='Parameters &amp; Assumptions'!$F$44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</si>
</sst>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43" formatCode="_(* #,##0.00_);_(* \(#,##0.00\);_(* &quot;-&quot;??_);_(@_)"/>
    <numFmt numFmtId="164" formatCode="&quot;$&quot;#,##0;\-&quot;$&quot;#,##0"/>
    <numFmt numFmtId="165" formatCode="_-&quot;$&quot;* #,##0.00_-;\-&quot;$&quot;* #,##0.00_-;_-&quot;$&quot;* &quot;-&quot;??_-;_-@_-"/>
    <numFmt numFmtId="166" formatCode="_-* #,##0.00_-;\-* #,##0.00_-;_-* &quot;-&quot;??_-;_-@_-"/>
    <numFmt numFmtId="167" formatCode="#,##0_);\(#,##0_)"/>
    <numFmt numFmtId="168" formatCode="0.00000"/>
    <numFmt numFmtId="169" formatCode="0_)"/>
    <numFmt numFmtId="170" formatCode="&quot;$&quot;#,##0.0;\-&quot;$&quot;#,##0.0"/>
    <numFmt numFmtId="171" formatCode="0.0_)"/>
    <numFmt numFmtId="172" formatCode="0.0"/>
    <numFmt numFmtId="173" formatCode="0.0%"/>
    <numFmt numFmtId="174" formatCode="_-* #,##0_-;\-* #,##0_-;_-* &quot;-&quot;??_-;_-@_-"/>
    <numFmt numFmtId="175" formatCode="_-&quot;$&quot;* #,##0_-;\-&quot;$&quot;* #,##0_-;_-&quot;$&quot;* &quot;-&quot;??_-;_-@_-"/>
    <numFmt numFmtId="176" formatCode="_-* #,##0.0000_-;\-* #,##0.0000_-;_-* &quot;-&quot;??_-;_-@_-"/>
    <numFmt numFmtId="177" formatCode="0.0000"/>
    <numFmt numFmtId="178" formatCode="#,##0.000;\-#,##0.000"/>
    <numFmt numFmtId="179" formatCode="#,##0.0000;\-#,##0.0000"/>
    <numFmt numFmtId="180" formatCode="&quot;$&quot;#,##0"/>
    <numFmt numFmtId="181" formatCode="&quot;$&quot;#,##0.00"/>
    <numFmt numFmtId="182" formatCode="_-* #,##0.0_-;\-* #,##0.0_-;_-* &quot;-&quot;??_-;_-@_-"/>
    <numFmt numFmtId="183" formatCode="#,##0.0;\-#,##0.0"/>
    <numFmt numFmtId="184" formatCode="_-&quot;$&quot;* #,##0.0_-;\-&quot;$&quot;* #,##0.0_-;_-&quot;$&quot;* &quot;-&quot;??_-;_-@_-"/>
  </numFmts>
  <fonts count="60" x14ac:knownFonts="1">
    <font>
      <sz val="11"/>
      <color theme="1"/>
      <name val="Calibri"/>
      <family val="2"/>
      <scheme val="minor"/>
    </font>
    <font>
      <sz val="11"/>
      <color theme="1"/>
      <name val="Calibri"/>
      <family val="2"/>
      <scheme val="minor"/>
    </font>
    <font>
      <sz val="10"/>
      <name val="Arial"/>
      <family val="2"/>
    </font>
    <font>
      <b/>
      <i/>
      <sz val="16"/>
      <name val="Arial"/>
      <family val="2"/>
    </font>
    <font>
      <b/>
      <sz val="10"/>
      <color rgb="FFFF0000"/>
      <name val="Arial"/>
      <family val="2"/>
    </font>
    <font>
      <i/>
      <sz val="14"/>
      <color indexed="56"/>
      <name val="Arial"/>
      <family val="2"/>
    </font>
    <font>
      <b/>
      <i/>
      <sz val="14"/>
      <color indexed="56"/>
      <name val="Arial"/>
      <family val="2"/>
    </font>
    <font>
      <i/>
      <sz val="10"/>
      <color indexed="56"/>
      <name val="Arial"/>
      <family val="2"/>
    </font>
    <font>
      <sz val="8.5"/>
      <name val="Arial"/>
      <family val="2"/>
    </font>
    <font>
      <b/>
      <sz val="14"/>
      <color indexed="62"/>
      <name val="Arial"/>
      <family val="2"/>
    </font>
    <font>
      <sz val="16"/>
      <color indexed="62"/>
      <name val="Arial"/>
      <family val="2"/>
    </font>
    <font>
      <b/>
      <sz val="10"/>
      <name val="Arial"/>
      <family val="2"/>
    </font>
    <font>
      <sz val="10"/>
      <color indexed="16"/>
      <name val="Arial"/>
      <family val="2"/>
    </font>
    <font>
      <sz val="8"/>
      <name val="Arial"/>
      <family val="2"/>
    </font>
    <font>
      <b/>
      <sz val="10"/>
      <color indexed="16"/>
      <name val="Arial"/>
      <family val="2"/>
    </font>
    <font>
      <sz val="11"/>
      <color indexed="25"/>
      <name val="Arial"/>
      <family val="2"/>
    </font>
    <font>
      <b/>
      <sz val="11"/>
      <color indexed="16"/>
      <name val="Arial"/>
      <family val="2"/>
    </font>
    <font>
      <i/>
      <sz val="10"/>
      <name val="Arial"/>
      <family val="2"/>
    </font>
    <font>
      <sz val="11"/>
      <name val="Arial"/>
      <family val="2"/>
    </font>
    <font>
      <b/>
      <sz val="8"/>
      <name val="Arial"/>
      <family val="2"/>
    </font>
    <font>
      <b/>
      <sz val="18"/>
      <color indexed="18"/>
      <name val="Arial"/>
      <family val="2"/>
    </font>
    <font>
      <b/>
      <sz val="8"/>
      <color indexed="16"/>
      <name val="Arial"/>
      <family val="2"/>
    </font>
    <font>
      <b/>
      <sz val="14"/>
      <color indexed="25"/>
      <name val="Arial"/>
      <family val="2"/>
    </font>
    <font>
      <b/>
      <sz val="12"/>
      <color indexed="25"/>
      <name val="Arial"/>
      <family val="2"/>
    </font>
    <font>
      <sz val="8"/>
      <color indexed="16"/>
      <name val="Arial"/>
      <family val="2"/>
    </font>
    <font>
      <sz val="14"/>
      <color indexed="32"/>
      <name val="Arial"/>
      <family val="2"/>
    </font>
    <font>
      <sz val="14"/>
      <color indexed="8"/>
      <name val="Arial"/>
      <family val="2"/>
    </font>
    <font>
      <b/>
      <i/>
      <sz val="12"/>
      <name val="Arial"/>
      <family val="2"/>
    </font>
    <font>
      <sz val="11"/>
      <color indexed="16"/>
      <name val="Arial"/>
      <family val="2"/>
    </font>
    <font>
      <b/>
      <sz val="14"/>
      <color rgb="FFC00000"/>
      <name val="Arial"/>
      <family val="2"/>
    </font>
    <font>
      <sz val="10"/>
      <color rgb="FFC00000"/>
      <name val="Arial"/>
      <family val="2"/>
    </font>
    <font>
      <u/>
      <sz val="11"/>
      <color theme="10"/>
      <name val="Calibri"/>
      <family val="2"/>
      <scheme val="minor"/>
    </font>
    <font>
      <sz val="11"/>
      <color rgb="FF000000"/>
      <name val="Arial"/>
      <family val="2"/>
    </font>
    <font>
      <sz val="10"/>
      <color theme="1"/>
      <name val="Calibri"/>
      <family val="2"/>
      <scheme val="minor"/>
    </font>
    <font>
      <sz val="10"/>
      <color indexed="25"/>
      <name val="Arial"/>
      <family val="2"/>
    </font>
    <font>
      <b/>
      <sz val="10"/>
      <color indexed="18"/>
      <name val="Arial"/>
      <family val="2"/>
    </font>
    <font>
      <b/>
      <sz val="12"/>
      <color indexed="16"/>
      <name val="Arial"/>
      <family val="2"/>
    </font>
    <font>
      <sz val="10"/>
      <color indexed="8"/>
      <name val="Arial"/>
      <family val="2"/>
    </font>
    <font>
      <sz val="10"/>
      <color rgb="FFFF0000"/>
      <name val="Tahoma"/>
      <family val="2"/>
    </font>
    <font>
      <b/>
      <sz val="8.5"/>
      <name val="Arial"/>
      <family val="2"/>
    </font>
    <font>
      <u/>
      <sz val="11"/>
      <color theme="10"/>
      <name val="Arial"/>
      <family val="2"/>
    </font>
    <font>
      <sz val="11"/>
      <color theme="1"/>
      <name val="Arial"/>
      <family val="2"/>
    </font>
    <font>
      <sz val="8"/>
      <name val="Calibri"/>
      <family val="2"/>
      <scheme val="minor"/>
    </font>
    <font>
      <b/>
      <sz val="11"/>
      <color theme="0"/>
      <name val="Calibri"/>
      <family val="2"/>
      <scheme val="minor"/>
    </font>
    <font>
      <b/>
      <sz val="11"/>
      <color theme="1"/>
      <name val="Calibri"/>
      <family val="2"/>
      <scheme val="minor"/>
    </font>
    <font>
      <b/>
      <sz val="11"/>
      <color theme="1"/>
      <name val="Arial"/>
      <family val="2"/>
    </font>
    <font>
      <sz val="11"/>
      <name val="Calibri"/>
      <family val="2"/>
      <scheme val="minor"/>
    </font>
    <font>
      <sz val="11"/>
      <color theme="1"/>
      <name val="Times New Roman"/>
      <family val="1"/>
    </font>
    <font>
      <sz val="8"/>
      <color theme="1"/>
      <name val="Arial"/>
      <family val="2"/>
    </font>
    <font>
      <sz val="12"/>
      <color indexed="16"/>
      <name val="Arial"/>
      <family val="2"/>
    </font>
    <font>
      <b/>
      <sz val="15"/>
      <color theme="3"/>
      <name val="Calibri"/>
      <family val="2"/>
      <scheme val="minor"/>
    </font>
    <font>
      <b/>
      <sz val="13"/>
      <color theme="3"/>
      <name val="Calibri"/>
      <family val="2"/>
      <scheme val="minor"/>
    </font>
    <font>
      <sz val="11"/>
      <color theme="0"/>
      <name val="Calibri"/>
      <family val="2"/>
      <scheme val="minor"/>
    </font>
    <font>
      <b/>
      <sz val="15"/>
      <name val="Calibri"/>
      <family val="2"/>
      <scheme val="minor"/>
    </font>
    <font>
      <sz val="12"/>
      <color theme="1"/>
      <name val="Calibri"/>
      <family val="2"/>
      <scheme val="minor"/>
    </font>
    <font>
      <b/>
      <sz val="13"/>
      <color theme="5"/>
      <name val="Calibri"/>
      <family val="2"/>
      <scheme val="minor"/>
    </font>
    <font>
      <i/>
      <sz val="14"/>
      <name val="Arial"/>
      <family val="2"/>
    </font>
    <font>
      <i/>
      <sz val="11"/>
      <color theme="1"/>
      <name val="Calibri"/>
      <family val="2"/>
      <scheme val="minor"/>
    </font>
    <font>
      <b/>
      <i/>
      <sz val="10"/>
      <name val="Arial"/>
      <family val="2"/>
    </font>
    <font>
      <sz val="10"/>
      <color theme="1"/>
      <name val="Arial"/>
      <family val="2"/>
    </font>
  </fonts>
  <fills count="18">
    <fill>
      <patternFill patternType="none"/>
    </fill>
    <fill>
      <patternFill patternType="gray125"/>
    </fill>
    <fill>
      <patternFill patternType="solid">
        <fgColor rgb="FFFFFFCC"/>
      </patternFill>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mediumGray">
        <fgColor indexed="41"/>
        <bgColor indexed="44"/>
      </patternFill>
    </fill>
    <fill>
      <patternFill patternType="solid">
        <fgColor theme="4" tint="0.59999389629810485"/>
        <bgColor indexed="64"/>
      </patternFill>
    </fill>
    <fill>
      <patternFill patternType="solid">
        <fgColor theme="5"/>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bgColor indexed="64"/>
      </patternFill>
    </fill>
    <fill>
      <patternFill patternType="solid">
        <fgColor theme="9" tint="0.79998168889431442"/>
        <bgColor indexed="64"/>
      </patternFill>
    </fill>
    <fill>
      <patternFill patternType="solid">
        <fgColor theme="0"/>
        <bgColor indexed="64"/>
      </patternFill>
    </fill>
    <fill>
      <patternFill patternType="solid">
        <fgColor rgb="FFC00000"/>
        <bgColor indexed="64"/>
      </patternFill>
    </fill>
    <fill>
      <patternFill patternType="solid">
        <fgColor theme="8"/>
        <bgColor indexed="64"/>
      </patternFill>
    </fill>
    <fill>
      <patternFill patternType="solid">
        <fgColor theme="3"/>
        <bgColor indexed="64"/>
      </patternFill>
    </fill>
    <fill>
      <patternFill patternType="solid">
        <fgColor rgb="FFFFFFCC"/>
        <bgColor indexed="64"/>
      </patternFill>
    </fill>
  </fills>
  <borders count="68">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left style="thin">
        <color indexed="64"/>
      </left>
      <right/>
      <top/>
      <bottom/>
      <diagonal/>
    </border>
    <border>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xf numFmtId="0" fontId="2" fillId="0" borderId="0"/>
    <xf numFmtId="0" fontId="2" fillId="0" borderId="0"/>
    <xf numFmtId="0" fontId="31" fillId="0" borderId="0" applyNumberFormat="0" applyFill="0" applyBorder="0" applyAlignment="0" applyProtection="0"/>
    <xf numFmtId="43" fontId="1" fillId="0" borderId="0" applyFont="0" applyFill="0" applyBorder="0" applyAlignment="0" applyProtection="0"/>
    <xf numFmtId="0" fontId="50" fillId="0" borderId="60" applyNumberFormat="0" applyFill="0" applyAlignment="0" applyProtection="0"/>
    <xf numFmtId="0" fontId="51" fillId="0" borderId="61" applyNumberFormat="0" applyFill="0" applyAlignment="0" applyProtection="0"/>
    <xf numFmtId="0" fontId="54" fillId="0" borderId="0"/>
  </cellStyleXfs>
  <cellXfs count="530">
    <xf numFmtId="0" fontId="0" fillId="0" borderId="0" xfId="0"/>
    <xf numFmtId="0" fontId="2" fillId="0" borderId="0" xfId="0" applyFont="1"/>
    <xf numFmtId="0" fontId="3" fillId="0" borderId="0" xfId="0" applyFont="1"/>
    <xf numFmtId="167" fontId="2" fillId="0" borderId="0" xfId="0" applyNumberFormat="1" applyFont="1"/>
    <xf numFmtId="37" fontId="2" fillId="0" borderId="0" xfId="0" applyNumberFormat="1" applyFont="1"/>
    <xf numFmtId="37" fontId="4" fillId="0" borderId="0" xfId="0" applyNumberFormat="1" applyFont="1"/>
    <xf numFmtId="168" fontId="2" fillId="0" borderId="0" xfId="0" applyNumberFormat="1" applyFont="1"/>
    <xf numFmtId="168" fontId="5" fillId="0" borderId="0" xfId="0" applyNumberFormat="1" applyFont="1" applyAlignment="1">
      <alignment horizontal="left" vertical="center"/>
    </xf>
    <xf numFmtId="0" fontId="2" fillId="0" borderId="0" xfId="0" applyFont="1" applyAlignment="1">
      <alignment vertical="center"/>
    </xf>
    <xf numFmtId="168" fontId="2" fillId="0" borderId="0" xfId="0" applyNumberFormat="1" applyFont="1" applyAlignment="1">
      <alignment vertical="center"/>
    </xf>
    <xf numFmtId="168" fontId="6" fillId="3" borderId="2" xfId="0" applyNumberFormat="1" applyFont="1" applyFill="1" applyBorder="1" applyAlignment="1">
      <alignment horizontal="left" vertical="center"/>
    </xf>
    <xf numFmtId="0" fontId="2" fillId="3" borderId="3" xfId="0" applyFont="1" applyFill="1" applyBorder="1"/>
    <xf numFmtId="0" fontId="2" fillId="3" borderId="3" xfId="0" applyFont="1" applyFill="1" applyBorder="1" applyAlignment="1">
      <alignment vertical="center"/>
    </xf>
    <xf numFmtId="168" fontId="2" fillId="3" borderId="3" xfId="0" applyNumberFormat="1" applyFont="1" applyFill="1" applyBorder="1" applyAlignment="1">
      <alignment vertical="center"/>
    </xf>
    <xf numFmtId="0" fontId="2" fillId="3" borderId="4" xfId="0" applyFont="1" applyFill="1" applyBorder="1" applyAlignment="1">
      <alignment vertical="center"/>
    </xf>
    <xf numFmtId="168" fontId="6" fillId="0" borderId="0" xfId="0" applyNumberFormat="1" applyFont="1" applyAlignment="1">
      <alignment horizontal="left" vertical="center"/>
    </xf>
    <xf numFmtId="0" fontId="2" fillId="3" borderId="7" xfId="0" applyFont="1" applyFill="1" applyBorder="1" applyAlignment="1">
      <alignment vertical="center"/>
    </xf>
    <xf numFmtId="168" fontId="7" fillId="0" borderId="0" xfId="0" applyNumberFormat="1" applyFont="1" applyAlignment="1">
      <alignment horizontal="left" vertical="center"/>
    </xf>
    <xf numFmtId="168" fontId="8" fillId="3" borderId="8" xfId="0" applyNumberFormat="1" applyFont="1" applyFill="1" applyBorder="1" applyAlignment="1">
      <alignment horizontal="left" vertical="center"/>
    </xf>
    <xf numFmtId="0" fontId="2" fillId="3" borderId="9" xfId="0" applyFont="1" applyFill="1" applyBorder="1" applyAlignment="1">
      <alignment vertical="center"/>
    </xf>
    <xf numFmtId="168" fontId="8" fillId="3" borderId="9" xfId="0" applyNumberFormat="1" applyFont="1" applyFill="1" applyBorder="1" applyAlignment="1">
      <alignment horizontal="left" vertical="center"/>
    </xf>
    <xf numFmtId="168" fontId="2" fillId="0" borderId="0" xfId="0" applyNumberFormat="1" applyFont="1" applyAlignment="1">
      <alignment horizontal="left" vertical="center"/>
    </xf>
    <xf numFmtId="168" fontId="8" fillId="0" borderId="0" xfId="0" applyNumberFormat="1" applyFont="1" applyAlignment="1">
      <alignment horizontal="left" vertical="center"/>
    </xf>
    <xf numFmtId="0" fontId="8" fillId="0" borderId="0" xfId="0" applyFont="1" applyAlignment="1">
      <alignment horizontal="right" vertical="center"/>
    </xf>
    <xf numFmtId="168" fontId="8" fillId="0" borderId="0" xfId="0" quotePrefix="1" applyNumberFormat="1" applyFont="1" applyAlignment="1">
      <alignment horizontal="left" vertical="center"/>
    </xf>
    <xf numFmtId="0" fontId="8" fillId="0" borderId="0" xfId="0" applyFont="1" applyAlignment="1">
      <alignment horizontal="left" vertical="center"/>
    </xf>
    <xf numFmtId="0" fontId="2" fillId="0" borderId="0" xfId="0" applyFont="1" applyAlignment="1">
      <alignment horizontal="center"/>
    </xf>
    <xf numFmtId="0" fontId="9" fillId="0" borderId="0" xfId="0" applyFont="1" applyAlignment="1">
      <alignment horizontal="centerContinuous"/>
    </xf>
    <xf numFmtId="0" fontId="10" fillId="0" borderId="0" xfId="0" applyFont="1" applyAlignment="1">
      <alignment horizontal="centerContinuous" vertical="center"/>
    </xf>
    <xf numFmtId="168" fontId="10" fillId="0" borderId="0" xfId="0" quotePrefix="1" applyNumberFormat="1" applyFont="1" applyAlignment="1">
      <alignment horizontal="centerContinuous" vertical="center"/>
    </xf>
    <xf numFmtId="0" fontId="10" fillId="0" borderId="0" xfId="0" applyFont="1" applyAlignment="1">
      <alignment horizontal="centerContinuous"/>
    </xf>
    <xf numFmtId="0" fontId="9" fillId="0" borderId="0" xfId="0" applyFont="1"/>
    <xf numFmtId="0" fontId="2" fillId="0" borderId="0" xfId="0" applyFont="1" applyAlignment="1">
      <alignment horizontal="centerContinuous"/>
    </xf>
    <xf numFmtId="168" fontId="2" fillId="0" borderId="0" xfId="0" quotePrefix="1" applyNumberFormat="1" applyFont="1" applyAlignment="1">
      <alignment horizontal="left" vertical="center"/>
    </xf>
    <xf numFmtId="0" fontId="2" fillId="0" borderId="0" xfId="0" applyFont="1" applyAlignment="1">
      <alignment horizontal="right" vertical="center"/>
    </xf>
    <xf numFmtId="168" fontId="12" fillId="0" borderId="0" xfId="0" applyNumberFormat="1" applyFont="1" applyAlignment="1">
      <alignment vertical="center"/>
    </xf>
    <xf numFmtId="0" fontId="2" fillId="3" borderId="14" xfId="0" applyFont="1" applyFill="1" applyBorder="1" applyAlignment="1">
      <alignment vertical="center"/>
    </xf>
    <xf numFmtId="0" fontId="14" fillId="3" borderId="14" xfId="0" applyFont="1" applyFill="1" applyBorder="1" applyAlignment="1">
      <alignment horizontal="centerContinuous" vertical="center"/>
    </xf>
    <xf numFmtId="0" fontId="2" fillId="3" borderId="15" xfId="0" applyFont="1" applyFill="1" applyBorder="1"/>
    <xf numFmtId="0" fontId="14" fillId="3" borderId="0" xfId="0" applyFont="1" applyFill="1" applyAlignment="1">
      <alignment horizontal="center" vertical="center"/>
    </xf>
    <xf numFmtId="0" fontId="11" fillId="5" borderId="15" xfId="0" applyFont="1" applyFill="1" applyBorder="1" applyAlignment="1">
      <alignment horizontal="center" vertical="center"/>
    </xf>
    <xf numFmtId="0" fontId="11" fillId="3" borderId="15" xfId="0" applyFont="1" applyFill="1" applyBorder="1" applyAlignment="1">
      <alignment horizontal="center" vertical="center"/>
    </xf>
    <xf numFmtId="0" fontId="11" fillId="5" borderId="8" xfId="0" applyFont="1" applyFill="1" applyBorder="1" applyAlignment="1">
      <alignment horizontal="center" vertical="center"/>
    </xf>
    <xf numFmtId="0" fontId="14" fillId="3" borderId="15"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6" xfId="0" applyFont="1" applyFill="1" applyBorder="1" applyAlignment="1">
      <alignment horizontal="center" vertical="center"/>
    </xf>
    <xf numFmtId="169" fontId="2" fillId="0" borderId="5" xfId="0" applyNumberFormat="1" applyFont="1" applyBorder="1" applyAlignment="1">
      <alignment horizontal="center" vertical="center"/>
    </xf>
    <xf numFmtId="5" fontId="2" fillId="5" borderId="5" xfId="0" applyNumberFormat="1" applyFont="1" applyFill="1" applyBorder="1" applyAlignment="1">
      <alignment vertical="center"/>
    </xf>
    <xf numFmtId="5" fontId="2" fillId="5" borderId="17" xfId="1" applyNumberFormat="1" applyFont="1" applyFill="1" applyBorder="1" applyAlignment="1" applyProtection="1">
      <alignment vertical="center"/>
    </xf>
    <xf numFmtId="5" fontId="2" fillId="0" borderId="17" xfId="1" applyNumberFormat="1" applyFont="1" applyFill="1" applyBorder="1" applyAlignment="1" applyProtection="1">
      <alignment vertical="center"/>
    </xf>
    <xf numFmtId="169" fontId="2" fillId="0" borderId="19" xfId="0" applyNumberFormat="1" applyFont="1" applyBorder="1" applyAlignment="1">
      <alignment horizontal="center" vertical="center"/>
    </xf>
    <xf numFmtId="38" fontId="2" fillId="0" borderId="19" xfId="1" applyNumberFormat="1" applyFont="1" applyFill="1" applyBorder="1" applyAlignment="1">
      <alignment horizontal="right" vertical="center"/>
    </xf>
    <xf numFmtId="37" fontId="2" fillId="0" borderId="19" xfId="0" applyNumberFormat="1" applyFont="1" applyBorder="1" applyAlignment="1">
      <alignment vertical="center"/>
    </xf>
    <xf numFmtId="38" fontId="2" fillId="0" borderId="19" xfId="1" applyNumberFormat="1" applyFont="1" applyFill="1" applyBorder="1" applyAlignment="1" applyProtection="1">
      <alignment vertical="center"/>
    </xf>
    <xf numFmtId="38" fontId="2" fillId="0" borderId="0" xfId="1" applyNumberFormat="1" applyFont="1" applyFill="1" applyBorder="1" applyAlignment="1" applyProtection="1">
      <alignment vertical="center"/>
    </xf>
    <xf numFmtId="169" fontId="2" fillId="0" borderId="10" xfId="0" applyNumberFormat="1" applyFont="1" applyBorder="1" applyAlignment="1">
      <alignment horizontal="center" vertical="center"/>
    </xf>
    <xf numFmtId="0" fontId="11" fillId="0" borderId="21" xfId="0" applyFont="1" applyBorder="1" applyAlignment="1">
      <alignment horizontal="center" vertical="center"/>
    </xf>
    <xf numFmtId="38" fontId="2" fillId="0" borderId="19" xfId="1" applyNumberFormat="1" applyFont="1" applyBorder="1" applyAlignment="1">
      <alignment vertical="center"/>
    </xf>
    <xf numFmtId="0" fontId="2" fillId="0" borderId="19" xfId="0" applyFont="1" applyBorder="1" applyAlignment="1">
      <alignment vertical="center"/>
    </xf>
    <xf numFmtId="5" fontId="14" fillId="5" borderId="22" xfId="1" applyNumberFormat="1" applyFont="1" applyFill="1" applyBorder="1" applyAlignment="1" applyProtection="1">
      <alignment vertical="center"/>
    </xf>
    <xf numFmtId="3" fontId="2" fillId="0" borderId="0" xfId="0" applyNumberFormat="1" applyFont="1" applyAlignment="1">
      <alignment vertical="center"/>
    </xf>
    <xf numFmtId="38" fontId="2" fillId="0" borderId="0" xfId="0" applyNumberFormat="1" applyFont="1" applyAlignment="1">
      <alignment vertical="center"/>
    </xf>
    <xf numFmtId="0" fontId="2" fillId="0" borderId="0" xfId="0" applyFont="1" applyAlignment="1">
      <alignment horizontal="centerContinuous"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3" fillId="0" borderId="27" xfId="0" applyFont="1" applyBorder="1" applyAlignment="1">
      <alignment vertical="center"/>
    </xf>
    <xf numFmtId="0" fontId="2" fillId="0" borderId="27" xfId="0" applyFont="1" applyBorder="1" applyAlignment="1">
      <alignment vertical="center"/>
    </xf>
    <xf numFmtId="0" fontId="2" fillId="0" borderId="27" xfId="0" applyFont="1" applyBorder="1"/>
    <xf numFmtId="0" fontId="2" fillId="0" borderId="28" xfId="0" applyFont="1" applyBorder="1"/>
    <xf numFmtId="0" fontId="2" fillId="0" borderId="29" xfId="0" applyFont="1" applyBorder="1" applyAlignment="1">
      <alignment horizontal="center" vertical="center"/>
    </xf>
    <xf numFmtId="0" fontId="2" fillId="0" borderId="0" xfId="0" applyFont="1" applyAlignment="1">
      <alignment horizontal="center" vertical="center"/>
    </xf>
    <xf numFmtId="0" fontId="20" fillId="0" borderId="0" xfId="0" applyFont="1" applyAlignment="1">
      <alignment horizontal="centerContinuous" vertical="center"/>
    </xf>
    <xf numFmtId="0" fontId="12" fillId="0" borderId="0" xfId="0" applyFont="1" applyAlignment="1">
      <alignment horizontal="centerContinuous" vertical="center"/>
    </xf>
    <xf numFmtId="0" fontId="2" fillId="0" borderId="30" xfId="0" applyFont="1" applyBorder="1"/>
    <xf numFmtId="0" fontId="21" fillId="0" borderId="29" xfId="0" applyFont="1" applyBorder="1" applyAlignment="1">
      <alignment horizontal="centerContinuous" vertical="center"/>
    </xf>
    <xf numFmtId="0" fontId="21" fillId="0" borderId="0" xfId="0" applyFont="1" applyAlignment="1">
      <alignment horizontal="centerContinuous" vertical="center"/>
    </xf>
    <xf numFmtId="0" fontId="22" fillId="0" borderId="0" xfId="0" applyFont="1" applyAlignment="1">
      <alignment horizontal="centerContinuous" vertical="center"/>
    </xf>
    <xf numFmtId="5" fontId="19" fillId="0" borderId="0" xfId="0" applyNumberFormat="1" applyFont="1" applyAlignment="1">
      <alignment horizontal="centerContinuous" vertical="center"/>
    </xf>
    <xf numFmtId="0" fontId="23" fillId="0" borderId="0" xfId="0" quotePrefix="1" applyFont="1" applyAlignment="1">
      <alignment horizontal="centerContinuous" vertical="center"/>
    </xf>
    <xf numFmtId="5" fontId="19" fillId="0" borderId="0" xfId="0" applyNumberFormat="1" applyFont="1" applyAlignment="1">
      <alignment vertical="center"/>
    </xf>
    <xf numFmtId="0" fontId="21" fillId="0" borderId="29" xfId="0" applyFont="1" applyBorder="1" applyAlignment="1">
      <alignment horizontal="left" vertical="center"/>
    </xf>
    <xf numFmtId="0" fontId="19" fillId="0" borderId="0" xfId="0" applyFont="1" applyAlignment="1">
      <alignment vertical="center"/>
    </xf>
    <xf numFmtId="0" fontId="2" fillId="0" borderId="29" xfId="0" applyFont="1" applyBorder="1" applyAlignment="1">
      <alignment vertical="center"/>
    </xf>
    <xf numFmtId="171" fontId="19" fillId="0" borderId="0" xfId="0" applyNumberFormat="1" applyFont="1" applyAlignment="1">
      <alignment vertical="center"/>
    </xf>
    <xf numFmtId="0" fontId="13" fillId="0" borderId="0" xfId="0" applyFont="1" applyAlignment="1">
      <alignment vertical="center"/>
    </xf>
    <xf numFmtId="0" fontId="2" fillId="3" borderId="12" xfId="0" applyFont="1" applyFill="1" applyBorder="1"/>
    <xf numFmtId="0" fontId="26" fillId="0" borderId="0" xfId="0" quotePrefix="1" applyFont="1" applyAlignment="1">
      <alignment horizontal="left" vertical="center"/>
    </xf>
    <xf numFmtId="173" fontId="25" fillId="0" borderId="0" xfId="0" applyNumberFormat="1" applyFont="1" applyAlignment="1">
      <alignment horizontal="right" vertical="center"/>
    </xf>
    <xf numFmtId="0" fontId="2" fillId="0" borderId="33" xfId="0" applyFont="1" applyBorder="1" applyAlignment="1">
      <alignment vertical="center"/>
    </xf>
    <xf numFmtId="0" fontId="2" fillId="0" borderId="34" xfId="0" applyFont="1" applyBorder="1" applyAlignment="1">
      <alignment vertical="center"/>
    </xf>
    <xf numFmtId="0" fontId="26" fillId="0" borderId="34" xfId="0" quotePrefix="1" applyFont="1" applyBorder="1" applyAlignment="1">
      <alignment horizontal="left" vertical="center"/>
    </xf>
    <xf numFmtId="173" fontId="25" fillId="0" borderId="34" xfId="0" applyNumberFormat="1" applyFont="1" applyBorder="1" applyAlignment="1">
      <alignment horizontal="right" vertical="center"/>
    </xf>
    <xf numFmtId="0" fontId="13" fillId="0" borderId="34" xfId="0" applyFont="1" applyBorder="1" applyAlignment="1">
      <alignment vertical="center"/>
    </xf>
    <xf numFmtId="0" fontId="2" fillId="0" borderId="35" xfId="0" applyFont="1" applyBorder="1"/>
    <xf numFmtId="0" fontId="10" fillId="0" borderId="0" xfId="0" applyFont="1" applyAlignment="1">
      <alignment vertical="center"/>
    </xf>
    <xf numFmtId="0" fontId="11" fillId="6" borderId="14" xfId="0" applyFont="1" applyFill="1" applyBorder="1" applyAlignment="1">
      <alignment horizontal="center" vertical="center"/>
    </xf>
    <xf numFmtId="0" fontId="2" fillId="3" borderId="15" xfId="0" applyFont="1" applyFill="1" applyBorder="1" applyAlignment="1">
      <alignment vertical="center"/>
    </xf>
    <xf numFmtId="0" fontId="14" fillId="3" borderId="8" xfId="0" applyFont="1" applyFill="1" applyBorder="1" applyAlignment="1">
      <alignment horizontal="centerContinuous" vertical="center"/>
    </xf>
    <xf numFmtId="0" fontId="14" fillId="3" borderId="7" xfId="0" applyFont="1" applyFill="1" applyBorder="1" applyAlignment="1">
      <alignment horizontal="centerContinuous" vertical="center"/>
    </xf>
    <xf numFmtId="0" fontId="11" fillId="6" borderId="15" xfId="0" applyFont="1" applyFill="1" applyBorder="1" applyAlignment="1">
      <alignment horizontal="center" vertical="center"/>
    </xf>
    <xf numFmtId="168" fontId="11" fillId="5" borderId="21" xfId="0" applyNumberFormat="1" applyFont="1" applyFill="1" applyBorder="1"/>
    <xf numFmtId="168" fontId="2" fillId="5" borderId="19" xfId="0" applyNumberFormat="1" applyFont="1" applyFill="1" applyBorder="1" applyAlignment="1">
      <alignment horizontal="center"/>
    </xf>
    <xf numFmtId="167" fontId="2" fillId="5" borderId="19" xfId="0" applyNumberFormat="1" applyFont="1" applyFill="1" applyBorder="1"/>
    <xf numFmtId="167" fontId="2" fillId="5" borderId="23" xfId="0" applyNumberFormat="1" applyFont="1" applyFill="1" applyBorder="1"/>
    <xf numFmtId="0" fontId="2" fillId="0" borderId="36" xfId="0" applyFont="1" applyBorder="1" applyAlignment="1">
      <alignment horizontal="center" vertical="center"/>
    </xf>
    <xf numFmtId="168" fontId="2" fillId="0" borderId="2" xfId="0" applyNumberFormat="1" applyFont="1" applyBorder="1" applyAlignment="1">
      <alignment horizontal="center"/>
    </xf>
    <xf numFmtId="167" fontId="2" fillId="0" borderId="3" xfId="0" applyNumberFormat="1" applyFont="1" applyBorder="1"/>
    <xf numFmtId="167" fontId="2" fillId="0" borderId="4" xfId="0" applyNumberFormat="1" applyFont="1" applyBorder="1"/>
    <xf numFmtId="5" fontId="2" fillId="6" borderId="17" xfId="1" applyNumberFormat="1" applyFont="1" applyFill="1" applyBorder="1" applyAlignment="1" applyProtection="1">
      <alignment vertical="center"/>
    </xf>
    <xf numFmtId="0" fontId="2" fillId="0" borderId="17" xfId="0" applyFont="1" applyBorder="1" applyAlignment="1">
      <alignment horizontal="center" vertical="center"/>
    </xf>
    <xf numFmtId="168" fontId="2" fillId="0" borderId="8" xfId="0" applyNumberFormat="1" applyFont="1" applyBorder="1" applyAlignment="1">
      <alignment horizontal="center"/>
    </xf>
    <xf numFmtId="167" fontId="2" fillId="0" borderId="7" xfId="0" applyNumberFormat="1" applyFont="1" applyBorder="1"/>
    <xf numFmtId="168" fontId="11" fillId="5" borderId="22" xfId="0" applyNumberFormat="1" applyFont="1" applyFill="1" applyBorder="1"/>
    <xf numFmtId="169" fontId="2" fillId="0" borderId="37" xfId="0" applyNumberFormat="1" applyFont="1" applyBorder="1" applyAlignment="1">
      <alignment horizontal="center" vertical="center"/>
    </xf>
    <xf numFmtId="169" fontId="2" fillId="0" borderId="17" xfId="0" applyNumberFormat="1" applyFont="1" applyBorder="1" applyAlignment="1">
      <alignment horizontal="center" vertical="center"/>
    </xf>
    <xf numFmtId="5" fontId="2" fillId="0" borderId="22" xfId="1" applyNumberFormat="1" applyFont="1" applyFill="1" applyBorder="1" applyAlignment="1" applyProtection="1">
      <alignment vertical="center"/>
    </xf>
    <xf numFmtId="0" fontId="2" fillId="0" borderId="0" xfId="6"/>
    <xf numFmtId="0" fontId="3" fillId="0" borderId="0" xfId="6" applyFont="1"/>
    <xf numFmtId="0" fontId="2" fillId="0" borderId="0" xfId="6" applyAlignment="1">
      <alignment horizontal="left"/>
    </xf>
    <xf numFmtId="168" fontId="5" fillId="0" borderId="0" xfId="6" applyNumberFormat="1" applyFont="1" applyAlignment="1">
      <alignment horizontal="left" vertical="center"/>
    </xf>
    <xf numFmtId="0" fontId="27" fillId="3" borderId="2" xfId="6" applyFont="1" applyFill="1" applyBorder="1"/>
    <xf numFmtId="0" fontId="27" fillId="3" borderId="3" xfId="6" applyFont="1" applyFill="1" applyBorder="1"/>
    <xf numFmtId="0" fontId="2" fillId="3" borderId="3" xfId="6" applyFill="1" applyBorder="1"/>
    <xf numFmtId="0" fontId="2" fillId="3" borderId="3" xfId="6" applyFill="1" applyBorder="1" applyAlignment="1">
      <alignment horizontal="left"/>
    </xf>
    <xf numFmtId="0" fontId="2" fillId="3" borderId="4" xfId="6" applyFill="1" applyBorder="1" applyAlignment="1">
      <alignment horizontal="center"/>
    </xf>
    <xf numFmtId="0" fontId="17" fillId="0" borderId="0" xfId="6" applyFont="1" applyAlignment="1">
      <alignment horizontal="left"/>
    </xf>
    <xf numFmtId="0" fontId="2" fillId="3" borderId="8" xfId="6" applyFill="1" applyBorder="1"/>
    <xf numFmtId="0" fontId="18" fillId="3" borderId="0" xfId="6" applyFont="1" applyFill="1"/>
    <xf numFmtId="0" fontId="2" fillId="3" borderId="0" xfId="6" applyFill="1"/>
    <xf numFmtId="0" fontId="2" fillId="3" borderId="0" xfId="6" applyFill="1" applyAlignment="1">
      <alignment horizontal="left"/>
    </xf>
    <xf numFmtId="0" fontId="2" fillId="3" borderId="7" xfId="6" applyFill="1" applyBorder="1" applyAlignment="1">
      <alignment horizontal="center"/>
    </xf>
    <xf numFmtId="0" fontId="28" fillId="3" borderId="0" xfId="6" applyFont="1" applyFill="1"/>
    <xf numFmtId="0" fontId="2" fillId="0" borderId="31" xfId="6" applyBorder="1"/>
    <xf numFmtId="0" fontId="2" fillId="3" borderId="7" xfId="6" applyFill="1" applyBorder="1"/>
    <xf numFmtId="2" fontId="2" fillId="3" borderId="7" xfId="6" applyNumberFormat="1" applyFill="1" applyBorder="1"/>
    <xf numFmtId="0" fontId="2" fillId="3" borderId="11" xfId="6" applyFill="1" applyBorder="1"/>
    <xf numFmtId="0" fontId="18" fillId="3" borderId="12" xfId="6" applyFont="1" applyFill="1" applyBorder="1"/>
    <xf numFmtId="0" fontId="2" fillId="3" borderId="12" xfId="6" applyFill="1" applyBorder="1"/>
    <xf numFmtId="0" fontId="2" fillId="3" borderId="12" xfId="6" applyFill="1" applyBorder="1" applyAlignment="1">
      <alignment horizontal="left"/>
    </xf>
    <xf numFmtId="0" fontId="2" fillId="3" borderId="13" xfId="6" applyFill="1" applyBorder="1" applyAlignment="1">
      <alignment horizontal="center"/>
    </xf>
    <xf numFmtId="0" fontId="2" fillId="7" borderId="0" xfId="0" applyFont="1" applyFill="1"/>
    <xf numFmtId="172" fontId="25" fillId="7" borderId="31" xfId="0" applyNumberFormat="1" applyFont="1" applyFill="1" applyBorder="1" applyAlignment="1">
      <alignment horizontal="right" vertical="center"/>
    </xf>
    <xf numFmtId="0" fontId="30" fillId="7" borderId="0" xfId="0" applyFont="1" applyFill="1"/>
    <xf numFmtId="0" fontId="32" fillId="0" borderId="0" xfId="0" applyFont="1" applyAlignment="1">
      <alignment horizontal="left" vertical="center"/>
    </xf>
    <xf numFmtId="0" fontId="31" fillId="0" borderId="0" xfId="7"/>
    <xf numFmtId="175" fontId="2" fillId="0" borderId="31" xfId="2" applyNumberFormat="1" applyFont="1" applyBorder="1"/>
    <xf numFmtId="0" fontId="2" fillId="3" borderId="8" xfId="6" applyFill="1" applyBorder="1" applyAlignment="1">
      <alignment horizontal="left"/>
    </xf>
    <xf numFmtId="175" fontId="2" fillId="0" borderId="20" xfId="2" applyNumberFormat="1" applyFont="1" applyBorder="1"/>
    <xf numFmtId="0" fontId="2" fillId="3" borderId="11" xfId="6" applyFill="1" applyBorder="1" applyAlignment="1">
      <alignment horizontal="left"/>
    </xf>
    <xf numFmtId="175" fontId="2" fillId="0" borderId="18" xfId="2" applyNumberFormat="1" applyFont="1" applyBorder="1"/>
    <xf numFmtId="0" fontId="10" fillId="0" borderId="0" xfId="0" applyFont="1" applyAlignment="1">
      <alignment horizontal="center" vertical="center"/>
    </xf>
    <xf numFmtId="0" fontId="9" fillId="0" borderId="0" xfId="0" applyFont="1" applyAlignment="1">
      <alignment horizontal="left"/>
    </xf>
    <xf numFmtId="0" fontId="28" fillId="3" borderId="7" xfId="6" applyFont="1" applyFill="1" applyBorder="1"/>
    <xf numFmtId="0" fontId="2" fillId="3" borderId="13" xfId="6" applyFill="1" applyBorder="1" applyAlignment="1">
      <alignment horizontal="left"/>
    </xf>
    <xf numFmtId="167" fontId="2" fillId="0" borderId="22" xfId="0" applyNumberFormat="1" applyFont="1" applyBorder="1"/>
    <xf numFmtId="37" fontId="2" fillId="0" borderId="22" xfId="0" applyNumberFormat="1" applyFont="1" applyBorder="1"/>
    <xf numFmtId="167" fontId="11" fillId="0" borderId="22" xfId="0" applyNumberFormat="1" applyFont="1" applyBorder="1"/>
    <xf numFmtId="37" fontId="11" fillId="0" borderId="22" xfId="0" applyNumberFormat="1" applyFont="1" applyBorder="1"/>
    <xf numFmtId="37" fontId="2" fillId="0" borderId="22" xfId="4" applyNumberFormat="1" applyFont="1" applyFill="1" applyBorder="1" applyAlignment="1">
      <alignment vertical="center" wrapText="1"/>
    </xf>
    <xf numFmtId="167" fontId="2" fillId="0" borderId="22" xfId="4" applyNumberFormat="1" applyFont="1" applyFill="1" applyBorder="1" applyAlignment="1">
      <alignment vertical="center"/>
    </xf>
    <xf numFmtId="167" fontId="11" fillId="0" borderId="22" xfId="4" applyNumberFormat="1" applyFont="1" applyFill="1" applyBorder="1" applyAlignment="1">
      <alignment vertical="center"/>
    </xf>
    <xf numFmtId="168" fontId="6" fillId="0" borderId="0" xfId="4" applyNumberFormat="1" applyFont="1" applyFill="1" applyBorder="1" applyAlignment="1">
      <alignment horizontal="left" vertical="center"/>
    </xf>
    <xf numFmtId="0" fontId="15" fillId="3" borderId="15" xfId="0" applyFont="1" applyFill="1" applyBorder="1" applyAlignment="1">
      <alignment horizontal="center" vertical="center"/>
    </xf>
    <xf numFmtId="38" fontId="2" fillId="0" borderId="17" xfId="1" applyNumberFormat="1" applyFont="1" applyBorder="1" applyAlignment="1">
      <alignment horizontal="right" vertical="center"/>
    </xf>
    <xf numFmtId="0" fontId="16" fillId="3" borderId="14" xfId="0" applyFont="1" applyFill="1" applyBorder="1" applyAlignment="1">
      <alignment horizontal="left" vertical="center" wrapText="1"/>
    </xf>
    <xf numFmtId="0" fontId="11" fillId="3" borderId="2" xfId="6" applyFont="1" applyFill="1" applyBorder="1" applyAlignment="1">
      <alignment horizontal="left"/>
    </xf>
    <xf numFmtId="0" fontId="11" fillId="3" borderId="3" xfId="6" applyFont="1" applyFill="1" applyBorder="1" applyAlignment="1">
      <alignment horizontal="left"/>
    </xf>
    <xf numFmtId="0" fontId="11" fillId="3" borderId="4" xfId="6" applyFont="1" applyFill="1" applyBorder="1" applyAlignment="1">
      <alignment horizontal="left"/>
    </xf>
    <xf numFmtId="0" fontId="2" fillId="3" borderId="0" xfId="0" applyFont="1" applyFill="1" applyAlignment="1">
      <alignment vertical="center"/>
    </xf>
    <xf numFmtId="0" fontId="2" fillId="3" borderId="0" xfId="0" applyFont="1" applyFill="1"/>
    <xf numFmtId="168" fontId="8" fillId="3" borderId="0" xfId="0" applyNumberFormat="1" applyFont="1" applyFill="1" applyAlignment="1">
      <alignment horizontal="left" vertical="center"/>
    </xf>
    <xf numFmtId="168" fontId="8" fillId="3" borderId="11" xfId="0" applyNumberFormat="1" applyFont="1" applyFill="1" applyBorder="1" applyAlignment="1">
      <alignment horizontal="left" vertical="center"/>
    </xf>
    <xf numFmtId="168" fontId="8" fillId="3" borderId="39" xfId="0" applyNumberFormat="1" applyFont="1" applyFill="1" applyBorder="1" applyAlignment="1">
      <alignment horizontal="left" vertical="center"/>
    </xf>
    <xf numFmtId="168" fontId="8" fillId="3" borderId="12" xfId="0" applyNumberFormat="1" applyFont="1" applyFill="1" applyBorder="1" applyAlignment="1">
      <alignment horizontal="lef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168" fontId="8" fillId="0" borderId="22" xfId="0" quotePrefix="1" applyNumberFormat="1" applyFont="1" applyBorder="1" applyAlignment="1">
      <alignment horizontal="left" vertical="center"/>
    </xf>
    <xf numFmtId="0" fontId="2" fillId="0" borderId="22" xfId="0" applyFont="1" applyBorder="1" applyAlignment="1">
      <alignment vertical="center"/>
    </xf>
    <xf numFmtId="167" fontId="11" fillId="0" borderId="0" xfId="0" applyNumberFormat="1" applyFont="1"/>
    <xf numFmtId="37" fontId="11" fillId="0" borderId="0" xfId="0" applyNumberFormat="1" applyFont="1"/>
    <xf numFmtId="0" fontId="14" fillId="3" borderId="14" xfId="0" applyFont="1" applyFill="1" applyBorder="1" applyAlignment="1">
      <alignment horizontal="left" vertical="center" wrapText="1"/>
    </xf>
    <xf numFmtId="0" fontId="33" fillId="0" borderId="0" xfId="0" applyFont="1"/>
    <xf numFmtId="0" fontId="34" fillId="3" borderId="15" xfId="0" applyFont="1" applyFill="1" applyBorder="1" applyAlignment="1">
      <alignment horizontal="center" vertical="center"/>
    </xf>
    <xf numFmtId="174" fontId="8" fillId="0" borderId="22" xfId="1" quotePrefix="1" applyNumberFormat="1" applyFont="1" applyBorder="1" applyAlignment="1">
      <alignment horizontal="left" vertical="center"/>
    </xf>
    <xf numFmtId="169" fontId="2" fillId="0" borderId="40" xfId="0" applyNumberFormat="1" applyFont="1" applyBorder="1" applyAlignment="1">
      <alignment horizontal="center" vertical="center"/>
    </xf>
    <xf numFmtId="5" fontId="2" fillId="5" borderId="40" xfId="0" applyNumberFormat="1" applyFont="1" applyFill="1" applyBorder="1" applyAlignment="1">
      <alignment vertical="center"/>
    </xf>
    <xf numFmtId="0" fontId="0" fillId="0" borderId="0" xfId="0" applyAlignment="1">
      <alignment wrapText="1"/>
    </xf>
    <xf numFmtId="38" fontId="2" fillId="0" borderId="0" xfId="1" applyNumberFormat="1" applyFont="1" applyFill="1" applyBorder="1" applyAlignment="1">
      <alignment horizontal="right" vertical="center"/>
    </xf>
    <xf numFmtId="5" fontId="2" fillId="0" borderId="0" xfId="0" applyNumberFormat="1" applyFont="1" applyAlignment="1">
      <alignment vertical="center"/>
    </xf>
    <xf numFmtId="169" fontId="2" fillId="0" borderId="0" xfId="0" applyNumberFormat="1" applyFont="1" applyAlignment="1">
      <alignment horizontal="center" vertical="center"/>
    </xf>
    <xf numFmtId="5" fontId="2" fillId="0" borderId="0" xfId="1" applyNumberFormat="1" applyFont="1" applyFill="1" applyBorder="1" applyAlignment="1" applyProtection="1">
      <alignment vertical="center"/>
    </xf>
    <xf numFmtId="168" fontId="2" fillId="0" borderId="22" xfId="0" applyNumberFormat="1" applyFont="1" applyBorder="1"/>
    <xf numFmtId="0" fontId="27" fillId="3" borderId="8" xfId="6" applyFont="1" applyFill="1" applyBorder="1"/>
    <xf numFmtId="0" fontId="12" fillId="0" borderId="15" xfId="0" applyFont="1" applyBorder="1" applyAlignment="1">
      <alignment horizontal="center"/>
    </xf>
    <xf numFmtId="0" fontId="2" fillId="0" borderId="29" xfId="0" applyFont="1" applyBorder="1"/>
    <xf numFmtId="0" fontId="35" fillId="0" borderId="0" xfId="0" applyFont="1" applyAlignment="1">
      <alignment horizontal="centerContinuous"/>
    </xf>
    <xf numFmtId="0" fontId="0" fillId="0" borderId="0" xfId="0" applyAlignment="1">
      <alignment horizontal="centerContinuous"/>
    </xf>
    <xf numFmtId="0" fontId="12" fillId="0" borderId="0" xfId="0" applyFont="1" applyAlignment="1">
      <alignment horizontal="centerContinuous"/>
    </xf>
    <xf numFmtId="0" fontId="11" fillId="0" borderId="0" xfId="0" applyFont="1" applyAlignment="1">
      <alignment horizontal="left"/>
    </xf>
    <xf numFmtId="0" fontId="11" fillId="0" borderId="22" xfId="0" applyFont="1" applyBorder="1" applyAlignment="1">
      <alignment horizontal="center"/>
    </xf>
    <xf numFmtId="0" fontId="11" fillId="0" borderId="46" xfId="0" applyFont="1" applyBorder="1" applyAlignment="1">
      <alignment horizontal="center"/>
    </xf>
    <xf numFmtId="0" fontId="11" fillId="0" borderId="47" xfId="0" applyFont="1" applyBorder="1" applyAlignment="1">
      <alignment horizontal="center"/>
    </xf>
    <xf numFmtId="0" fontId="11" fillId="0" borderId="48" xfId="0" applyFont="1" applyBorder="1" applyAlignment="1">
      <alignment horizontal="center"/>
    </xf>
    <xf numFmtId="0" fontId="11" fillId="0" borderId="49" xfId="0" applyFont="1" applyBorder="1" applyAlignment="1">
      <alignment horizontal="center"/>
    </xf>
    <xf numFmtId="0" fontId="11" fillId="0" borderId="50" xfId="0" applyFont="1" applyBorder="1" applyAlignment="1">
      <alignment horizontal="center"/>
    </xf>
    <xf numFmtId="177" fontId="0" fillId="0" borderId="41" xfId="0" applyNumberFormat="1" applyBorder="1"/>
    <xf numFmtId="177" fontId="0" fillId="0" borderId="42" xfId="0" applyNumberFormat="1" applyBorder="1"/>
    <xf numFmtId="177" fontId="0" fillId="0" borderId="43" xfId="0" applyNumberFormat="1" applyBorder="1"/>
    <xf numFmtId="177" fontId="0" fillId="0" borderId="44" xfId="0" applyNumberFormat="1" applyBorder="1"/>
    <xf numFmtId="177" fontId="0" fillId="0" borderId="45" xfId="0" applyNumberFormat="1" applyBorder="1"/>
    <xf numFmtId="176" fontId="2" fillId="0" borderId="31" xfId="1" applyNumberFormat="1" applyFont="1" applyBorder="1"/>
    <xf numFmtId="176" fontId="2" fillId="0" borderId="20" xfId="1" applyNumberFormat="1" applyFont="1" applyBorder="1"/>
    <xf numFmtId="166" fontId="8" fillId="0" borderId="22" xfId="1" quotePrefix="1" applyFont="1" applyBorder="1" applyAlignment="1">
      <alignment horizontal="left" vertical="center"/>
    </xf>
    <xf numFmtId="166" fontId="0" fillId="0" borderId="0" xfId="0" applyNumberFormat="1"/>
    <xf numFmtId="0" fontId="14" fillId="3" borderId="15" xfId="0" applyFont="1" applyFill="1" applyBorder="1" applyAlignment="1">
      <alignment horizontal="center" vertical="center" wrapText="1"/>
    </xf>
    <xf numFmtId="5" fontId="2" fillId="3" borderId="15" xfId="0" applyNumberFormat="1" applyFont="1" applyFill="1" applyBorder="1" applyAlignment="1">
      <alignment vertical="center"/>
    </xf>
    <xf numFmtId="169" fontId="2" fillId="0" borderId="36" xfId="0" applyNumberFormat="1" applyFont="1" applyBorder="1" applyAlignment="1">
      <alignment horizontal="center" vertical="center"/>
    </xf>
    <xf numFmtId="5" fontId="2" fillId="3" borderId="36" xfId="0" applyNumberFormat="1" applyFont="1" applyFill="1" applyBorder="1" applyAlignment="1">
      <alignment vertical="center"/>
    </xf>
    <xf numFmtId="0" fontId="11" fillId="5" borderId="22" xfId="0" applyFont="1" applyFill="1" applyBorder="1" applyAlignment="1">
      <alignment horizontal="center" vertical="center"/>
    </xf>
    <xf numFmtId="5" fontId="2" fillId="5" borderId="47" xfId="0" applyNumberFormat="1" applyFont="1" applyFill="1" applyBorder="1" applyAlignment="1">
      <alignment vertical="center"/>
    </xf>
    <xf numFmtId="5" fontId="37" fillId="5" borderId="22" xfId="0" applyNumberFormat="1" applyFont="1" applyFill="1" applyBorder="1" applyAlignment="1">
      <alignment vertical="center"/>
    </xf>
    <xf numFmtId="167" fontId="2" fillId="9" borderId="22" xfId="4" applyNumberFormat="1" applyFont="1" applyFill="1" applyBorder="1" applyAlignment="1">
      <alignment vertical="center"/>
    </xf>
    <xf numFmtId="37" fontId="0" fillId="0" borderId="0" xfId="0" applyNumberFormat="1"/>
    <xf numFmtId="0" fontId="38" fillId="0" borderId="0" xfId="0" applyFont="1"/>
    <xf numFmtId="0" fontId="2" fillId="3" borderId="8" xfId="6" applyFill="1" applyBorder="1" applyAlignment="1">
      <alignment wrapText="1"/>
    </xf>
    <xf numFmtId="0" fontId="28" fillId="3" borderId="0" xfId="6" applyFont="1" applyFill="1" applyAlignment="1">
      <alignment wrapText="1"/>
    </xf>
    <xf numFmtId="0" fontId="2" fillId="3" borderId="0" xfId="6" applyFill="1" applyAlignment="1">
      <alignment wrapText="1"/>
    </xf>
    <xf numFmtId="0" fontId="2" fillId="3" borderId="0" xfId="6" applyFill="1" applyAlignment="1">
      <alignment horizontal="left" wrapText="1"/>
    </xf>
    <xf numFmtId="0" fontId="17" fillId="0" borderId="0" xfId="6" applyFont="1" applyAlignment="1">
      <alignment horizontal="left" wrapText="1"/>
    </xf>
    <xf numFmtId="0" fontId="18" fillId="3" borderId="0" xfId="6" applyFont="1" applyFill="1" applyAlignment="1">
      <alignment wrapText="1"/>
    </xf>
    <xf numFmtId="0" fontId="2" fillId="3" borderId="7" xfId="6" applyFill="1" applyBorder="1" applyAlignment="1">
      <alignment horizontal="center" wrapText="1"/>
    </xf>
    <xf numFmtId="0" fontId="2" fillId="0" borderId="52" xfId="6" applyBorder="1"/>
    <xf numFmtId="0" fontId="2" fillId="0" borderId="20" xfId="6" applyBorder="1"/>
    <xf numFmtId="0" fontId="2" fillId="0" borderId="53" xfId="6" applyBorder="1"/>
    <xf numFmtId="0" fontId="2" fillId="0" borderId="38" xfId="6" applyBorder="1"/>
    <xf numFmtId="0" fontId="2" fillId="0" borderId="18" xfId="6" applyBorder="1"/>
    <xf numFmtId="37" fontId="11" fillId="0" borderId="22" xfId="4" applyNumberFormat="1" applyFont="1" applyFill="1" applyBorder="1" applyAlignment="1">
      <alignment horizontal="center" vertical="center"/>
    </xf>
    <xf numFmtId="179" fontId="0" fillId="0" borderId="0" xfId="0" applyNumberFormat="1"/>
    <xf numFmtId="2" fontId="2" fillId="0" borderId="22" xfId="0" applyNumberFormat="1" applyFont="1" applyBorder="1"/>
    <xf numFmtId="2" fontId="8" fillId="0" borderId="0" xfId="0" quotePrefix="1" applyNumberFormat="1" applyFont="1" applyAlignment="1">
      <alignment horizontal="left" vertical="center"/>
    </xf>
    <xf numFmtId="2" fontId="2" fillId="0" borderId="0" xfId="0" applyNumberFormat="1" applyFont="1"/>
    <xf numFmtId="2" fontId="11" fillId="0" borderId="22" xfId="0" applyNumberFormat="1" applyFont="1" applyBorder="1"/>
    <xf numFmtId="169" fontId="2" fillId="0" borderId="54" xfId="0" applyNumberFormat="1" applyFont="1" applyBorder="1" applyAlignment="1">
      <alignment horizontal="center" vertical="center"/>
    </xf>
    <xf numFmtId="38" fontId="2" fillId="0" borderId="37" xfId="1" applyNumberFormat="1" applyFont="1" applyBorder="1" applyAlignment="1">
      <alignment horizontal="right" vertical="center"/>
    </xf>
    <xf numFmtId="5" fontId="2" fillId="5" borderId="54" xfId="0" applyNumberFormat="1" applyFont="1" applyFill="1" applyBorder="1" applyAlignment="1">
      <alignment vertical="center"/>
    </xf>
    <xf numFmtId="0" fontId="11" fillId="0" borderId="0" xfId="0" applyFont="1" applyAlignment="1">
      <alignment horizontal="center" vertical="center"/>
    </xf>
    <xf numFmtId="38" fontId="2" fillId="0" borderId="0" xfId="1" applyNumberFormat="1" applyFont="1" applyBorder="1" applyAlignment="1">
      <alignment vertical="center"/>
    </xf>
    <xf numFmtId="0" fontId="2" fillId="0" borderId="31" xfId="6" applyBorder="1" applyAlignment="1">
      <alignment horizontal="right"/>
    </xf>
    <xf numFmtId="0" fontId="2" fillId="0" borderId="20" xfId="6" applyBorder="1" applyAlignment="1">
      <alignment horizontal="right"/>
    </xf>
    <xf numFmtId="0" fontId="2" fillId="0" borderId="52" xfId="6" applyBorder="1" applyAlignment="1">
      <alignment horizontal="right"/>
    </xf>
    <xf numFmtId="0" fontId="2" fillId="0" borderId="53" xfId="6" applyBorder="1" applyAlignment="1">
      <alignment horizontal="right"/>
    </xf>
    <xf numFmtId="0" fontId="2" fillId="0" borderId="38" xfId="6" applyBorder="1" applyAlignment="1">
      <alignment horizontal="right"/>
    </xf>
    <xf numFmtId="0" fontId="2" fillId="0" borderId="18" xfId="6" applyBorder="1" applyAlignment="1">
      <alignment horizontal="right"/>
    </xf>
    <xf numFmtId="168" fontId="10" fillId="0" borderId="0" xfId="0" quotePrefix="1" applyNumberFormat="1" applyFont="1" applyAlignment="1">
      <alignment horizontal="center" vertical="center"/>
    </xf>
    <xf numFmtId="0" fontId="10" fillId="0" borderId="0" xfId="0" applyFont="1" applyAlignment="1">
      <alignment horizontal="center"/>
    </xf>
    <xf numFmtId="174" fontId="8" fillId="0" borderId="0" xfId="1" quotePrefix="1" applyNumberFormat="1" applyFont="1" applyBorder="1" applyAlignment="1">
      <alignment horizontal="left" vertical="center"/>
    </xf>
    <xf numFmtId="174" fontId="2" fillId="0" borderId="0" xfId="0" applyNumberFormat="1" applyFont="1" applyAlignment="1">
      <alignment vertical="center"/>
    </xf>
    <xf numFmtId="166" fontId="8" fillId="0" borderId="0" xfId="1" quotePrefix="1" applyFont="1" applyBorder="1" applyAlignment="1">
      <alignment horizontal="left" vertical="center"/>
    </xf>
    <xf numFmtId="0" fontId="11" fillId="0" borderId="22" xfId="0" applyFont="1" applyBorder="1" applyAlignment="1">
      <alignment vertical="center"/>
    </xf>
    <xf numFmtId="168" fontId="39" fillId="0" borderId="22" xfId="0" quotePrefix="1" applyNumberFormat="1" applyFont="1" applyBorder="1" applyAlignment="1">
      <alignment horizontal="left" vertical="center"/>
    </xf>
    <xf numFmtId="0" fontId="28" fillId="3" borderId="2" xfId="6" applyFont="1" applyFill="1" applyBorder="1"/>
    <xf numFmtId="0" fontId="28" fillId="3" borderId="3" xfId="6" applyFont="1" applyFill="1" applyBorder="1"/>
    <xf numFmtId="0" fontId="28" fillId="3" borderId="4" xfId="6" applyFont="1" applyFill="1" applyBorder="1"/>
    <xf numFmtId="5" fontId="2" fillId="5" borderId="37" xfId="0" applyNumberFormat="1" applyFont="1" applyFill="1" applyBorder="1" applyAlignment="1">
      <alignment vertical="center"/>
    </xf>
    <xf numFmtId="5" fontId="2" fillId="5" borderId="17" xfId="0" applyNumberFormat="1" applyFont="1" applyFill="1" applyBorder="1" applyAlignment="1">
      <alignment vertical="center"/>
    </xf>
    <xf numFmtId="5" fontId="2" fillId="5" borderId="24" xfId="0" applyNumberFormat="1" applyFont="1" applyFill="1" applyBorder="1" applyAlignment="1">
      <alignment vertical="center"/>
    </xf>
    <xf numFmtId="0" fontId="2" fillId="3" borderId="8" xfId="0" applyFont="1" applyFill="1" applyBorder="1"/>
    <xf numFmtId="0" fontId="2" fillId="3" borderId="7" xfId="0" applyFont="1" applyFill="1" applyBorder="1"/>
    <xf numFmtId="0" fontId="0" fillId="0" borderId="0" xfId="0" applyAlignment="1">
      <alignment horizontal="left" vertical="top"/>
    </xf>
    <xf numFmtId="177" fontId="0" fillId="0" borderId="0" xfId="0" applyNumberFormat="1"/>
    <xf numFmtId="177" fontId="0" fillId="0" borderId="15" xfId="0" applyNumberFormat="1" applyBorder="1"/>
    <xf numFmtId="0" fontId="12" fillId="0" borderId="16" xfId="0" applyFont="1" applyBorder="1" applyAlignment="1">
      <alignment horizontal="center"/>
    </xf>
    <xf numFmtId="177" fontId="0" fillId="0" borderId="55" xfId="0" applyNumberFormat="1" applyBorder="1"/>
    <xf numFmtId="177" fontId="0" fillId="0" borderId="16" xfId="0" applyNumberFormat="1" applyBorder="1"/>
    <xf numFmtId="177" fontId="0" fillId="0" borderId="56" xfId="0" applyNumberFormat="1" applyBorder="1"/>
    <xf numFmtId="177" fontId="0" fillId="0" borderId="57" xfId="0" applyNumberFormat="1" applyBorder="1"/>
    <xf numFmtId="177" fontId="0" fillId="0" borderId="58" xfId="0" applyNumberFormat="1" applyBorder="1"/>
    <xf numFmtId="177" fontId="0" fillId="0" borderId="59" xfId="0" applyNumberFormat="1" applyBorder="1"/>
    <xf numFmtId="178" fontId="2" fillId="9" borderId="22" xfId="4" applyNumberFormat="1" applyFont="1" applyFill="1" applyBorder="1" applyAlignment="1">
      <alignment vertical="center"/>
    </xf>
    <xf numFmtId="178" fontId="11" fillId="0" borderId="22" xfId="4" applyNumberFormat="1" applyFont="1" applyFill="1" applyBorder="1" applyAlignment="1">
      <alignment vertical="center"/>
    </xf>
    <xf numFmtId="0" fontId="40" fillId="0" borderId="0" xfId="7" applyFont="1"/>
    <xf numFmtId="0" fontId="41" fillId="0" borderId="0" xfId="0" applyFont="1"/>
    <xf numFmtId="0" fontId="21" fillId="0" borderId="0" xfId="0" applyFont="1" applyAlignment="1">
      <alignment horizontal="left" vertical="center"/>
    </xf>
    <xf numFmtId="0" fontId="21" fillId="7" borderId="0" xfId="0" applyFont="1" applyFill="1" applyAlignment="1">
      <alignment horizontal="left" vertical="center"/>
    </xf>
    <xf numFmtId="0" fontId="24" fillId="7" borderId="0" xfId="0" applyFont="1" applyFill="1" applyAlignment="1">
      <alignment vertical="center"/>
    </xf>
    <xf numFmtId="0" fontId="2" fillId="7" borderId="0" xfId="0" applyFont="1" applyFill="1" applyAlignment="1">
      <alignment vertical="center"/>
    </xf>
    <xf numFmtId="0" fontId="29" fillId="7" borderId="0" xfId="0" applyFont="1" applyFill="1" applyAlignment="1">
      <alignment horizontal="left" vertical="center"/>
    </xf>
    <xf numFmtId="173" fontId="25" fillId="7" borderId="0" xfId="0" applyNumberFormat="1" applyFont="1" applyFill="1" applyAlignment="1">
      <alignment horizontal="right" vertical="center"/>
    </xf>
    <xf numFmtId="0" fontId="26" fillId="7" borderId="0" xfId="0" quotePrefix="1" applyFont="1" applyFill="1" applyAlignment="1">
      <alignment horizontal="left" vertical="center"/>
    </xf>
    <xf numFmtId="0" fontId="14" fillId="0" borderId="0" xfId="0" applyFont="1" applyAlignment="1">
      <alignment horizontal="center" vertical="center"/>
    </xf>
    <xf numFmtId="164" fontId="25" fillId="7" borderId="0" xfId="0" applyNumberFormat="1" applyFont="1" applyFill="1" applyAlignment="1">
      <alignment horizontal="right" vertical="center"/>
    </xf>
    <xf numFmtId="0" fontId="11" fillId="0" borderId="0" xfId="0" applyFont="1"/>
    <xf numFmtId="164" fontId="25" fillId="7" borderId="31" xfId="0" applyNumberFormat="1" applyFont="1" applyFill="1" applyBorder="1" applyAlignment="1">
      <alignment horizontal="right" vertical="center"/>
    </xf>
    <xf numFmtId="164" fontId="25" fillId="7" borderId="32" xfId="0" applyNumberFormat="1" applyFont="1" applyFill="1" applyBorder="1" applyAlignment="1">
      <alignment horizontal="right" vertical="center"/>
    </xf>
    <xf numFmtId="0" fontId="41" fillId="0" borderId="0" xfId="0" applyFont="1" applyAlignment="1">
      <alignment horizontal="center"/>
    </xf>
    <xf numFmtId="0" fontId="20" fillId="0" borderId="0" xfId="0" applyFont="1" applyAlignment="1">
      <alignment horizontal="left" vertical="center"/>
    </xf>
    <xf numFmtId="0" fontId="22" fillId="0" borderId="0" xfId="0" applyFont="1" applyAlignment="1">
      <alignment horizontal="left" vertical="center"/>
    </xf>
    <xf numFmtId="0" fontId="2" fillId="0" borderId="31" xfId="6" applyBorder="1" applyAlignment="1">
      <alignment horizontal="center"/>
    </xf>
    <xf numFmtId="9" fontId="2" fillId="0" borderId="31" xfId="3" applyFont="1" applyBorder="1" applyAlignment="1">
      <alignment horizontal="center"/>
    </xf>
    <xf numFmtId="173" fontId="2" fillId="0" borderId="31" xfId="3" applyNumberFormat="1" applyFont="1" applyBorder="1" applyAlignment="1">
      <alignment horizontal="center"/>
    </xf>
    <xf numFmtId="2" fontId="2" fillId="0" borderId="31" xfId="6" applyNumberFormat="1" applyBorder="1" applyAlignment="1">
      <alignment horizontal="center"/>
    </xf>
    <xf numFmtId="0" fontId="28" fillId="3" borderId="3" xfId="6" quotePrefix="1" applyFont="1" applyFill="1" applyBorder="1"/>
    <xf numFmtId="0" fontId="28" fillId="3" borderId="8" xfId="6" applyFont="1" applyFill="1" applyBorder="1"/>
    <xf numFmtId="0" fontId="16" fillId="3" borderId="0" xfId="6" applyFont="1" applyFill="1"/>
    <xf numFmtId="0" fontId="28" fillId="3" borderId="0" xfId="6" applyFont="1" applyFill="1" applyAlignment="1">
      <alignment horizontal="center"/>
    </xf>
    <xf numFmtId="0" fontId="16" fillId="3" borderId="0" xfId="6" applyFont="1" applyFill="1" applyAlignment="1">
      <alignment horizontal="center"/>
    </xf>
    <xf numFmtId="180" fontId="2" fillId="0" borderId="31" xfId="6" applyNumberFormat="1" applyBorder="1" applyAlignment="1">
      <alignment horizontal="center"/>
    </xf>
    <xf numFmtId="0" fontId="16" fillId="3" borderId="14" xfId="0" applyFont="1" applyFill="1" applyBorder="1" applyAlignment="1">
      <alignment horizontal="center" vertical="center" wrapText="1"/>
    </xf>
    <xf numFmtId="175" fontId="41" fillId="0" borderId="7" xfId="2" applyNumberFormat="1" applyFont="1" applyBorder="1"/>
    <xf numFmtId="0" fontId="45" fillId="0" borderId="0" xfId="0" applyFont="1"/>
    <xf numFmtId="0" fontId="16" fillId="3" borderId="2" xfId="0" applyFont="1" applyFill="1" applyBorder="1" applyAlignment="1">
      <alignment horizontal="center" vertical="center" wrapText="1"/>
    </xf>
    <xf numFmtId="0" fontId="0" fillId="0" borderId="22" xfId="0" applyBorder="1"/>
    <xf numFmtId="0" fontId="43" fillId="10" borderId="22" xfId="0" applyFont="1" applyFill="1" applyBorder="1"/>
    <xf numFmtId="9" fontId="0" fillId="0" borderId="0" xfId="3" applyFont="1"/>
    <xf numFmtId="9" fontId="0" fillId="0" borderId="0" xfId="0" applyNumberFormat="1"/>
    <xf numFmtId="9" fontId="0" fillId="0" borderId="22" xfId="3" applyFont="1" applyBorder="1"/>
    <xf numFmtId="0" fontId="22" fillId="0" borderId="0" xfId="0" applyFont="1" applyAlignment="1">
      <alignment vertical="center"/>
    </xf>
    <xf numFmtId="5" fontId="2" fillId="0" borderId="0" xfId="0" applyNumberFormat="1" applyFont="1"/>
    <xf numFmtId="5" fontId="0" fillId="0" borderId="0" xfId="0" applyNumberFormat="1"/>
    <xf numFmtId="164" fontId="2" fillId="0" borderId="0" xfId="0" applyNumberFormat="1" applyFont="1"/>
    <xf numFmtId="168" fontId="6" fillId="0" borderId="0" xfId="6" applyNumberFormat="1" applyFont="1" applyAlignment="1">
      <alignment horizontal="left" vertical="center"/>
    </xf>
    <xf numFmtId="0" fontId="15" fillId="3" borderId="8" xfId="0" applyFont="1" applyFill="1" applyBorder="1" applyAlignment="1">
      <alignment horizontal="center" vertical="center"/>
    </xf>
    <xf numFmtId="9" fontId="2" fillId="0" borderId="22" xfId="0" applyNumberFormat="1" applyFont="1" applyBorder="1" applyAlignment="1">
      <alignment horizontal="center" vertical="center"/>
    </xf>
    <xf numFmtId="5" fontId="14" fillId="0" borderId="22" xfId="1" applyNumberFormat="1" applyFont="1" applyFill="1" applyBorder="1" applyAlignment="1" applyProtection="1">
      <alignment vertical="center"/>
    </xf>
    <xf numFmtId="1" fontId="2" fillId="0" borderId="22" xfId="0" applyNumberFormat="1" applyFont="1" applyBorder="1"/>
    <xf numFmtId="9" fontId="2" fillId="0" borderId="22" xfId="3" applyFont="1" applyBorder="1"/>
    <xf numFmtId="0" fontId="10" fillId="0" borderId="0" xfId="0" applyFont="1" applyAlignment="1">
      <alignment horizontal="left"/>
    </xf>
    <xf numFmtId="0" fontId="10" fillId="0" borderId="0" xfId="0" applyFont="1" applyAlignment="1">
      <alignment horizontal="left" vertical="center"/>
    </xf>
    <xf numFmtId="175" fontId="2" fillId="0" borderId="17" xfId="2" applyNumberFormat="1" applyFont="1" applyBorder="1" applyAlignment="1">
      <alignment horizontal="right" vertical="center"/>
    </xf>
    <xf numFmtId="175" fontId="2" fillId="0" borderId="22" xfId="2" applyNumberFormat="1" applyFont="1" applyBorder="1"/>
    <xf numFmtId="0" fontId="16" fillId="3" borderId="0" xfId="6" applyFont="1" applyFill="1" applyAlignment="1">
      <alignment horizontal="left"/>
    </xf>
    <xf numFmtId="2" fontId="2" fillId="0" borderId="0" xfId="6" applyNumberFormat="1"/>
    <xf numFmtId="164" fontId="0" fillId="0" borderId="0" xfId="0" applyNumberFormat="1"/>
    <xf numFmtId="172" fontId="0" fillId="0" borderId="0" xfId="0" applyNumberFormat="1"/>
    <xf numFmtId="39" fontId="2" fillId="0" borderId="22" xfId="0" applyNumberFormat="1" applyFont="1" applyBorder="1"/>
    <xf numFmtId="181" fontId="0" fillId="0" borderId="0" xfId="0" applyNumberFormat="1"/>
    <xf numFmtId="180" fontId="0" fillId="0" borderId="0" xfId="0" applyNumberFormat="1"/>
    <xf numFmtId="182" fontId="25" fillId="0" borderId="0" xfId="1" applyNumberFormat="1" applyFont="1" applyAlignment="1">
      <alignment horizontal="right" vertical="center"/>
    </xf>
    <xf numFmtId="182" fontId="24" fillId="7" borderId="0" xfId="1" applyNumberFormat="1" applyFont="1" applyFill="1" applyAlignment="1">
      <alignment vertical="center"/>
    </xf>
    <xf numFmtId="182" fontId="25" fillId="7" borderId="0" xfId="1" applyNumberFormat="1" applyFont="1" applyFill="1" applyAlignment="1">
      <alignment horizontal="right" vertical="center"/>
    </xf>
    <xf numFmtId="182" fontId="25" fillId="0" borderId="0" xfId="1" applyNumberFormat="1" applyFont="1" applyAlignment="1">
      <alignment horizontal="left" vertical="center"/>
    </xf>
    <xf numFmtId="0" fontId="47" fillId="0" borderId="0" xfId="0" applyFont="1"/>
    <xf numFmtId="0" fontId="11" fillId="6" borderId="15" xfId="0" applyFont="1" applyFill="1" applyBorder="1" applyAlignment="1">
      <alignment horizontal="center" vertical="center" wrapText="1"/>
    </xf>
    <xf numFmtId="0" fontId="48" fillId="0" borderId="0" xfId="0" applyFont="1" applyAlignment="1">
      <alignment vertical="center"/>
    </xf>
    <xf numFmtId="0" fontId="14" fillId="3" borderId="22" xfId="0" applyFont="1" applyFill="1" applyBorder="1" applyAlignment="1">
      <alignment horizontal="centerContinuous" vertical="center"/>
    </xf>
    <xf numFmtId="0" fontId="14" fillId="3" borderId="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xf>
    <xf numFmtId="10" fontId="2" fillId="0" borderId="22" xfId="3" applyNumberFormat="1" applyFont="1" applyBorder="1"/>
    <xf numFmtId="5" fontId="2" fillId="12" borderId="25" xfId="0" applyNumberFormat="1" applyFont="1" applyFill="1" applyBorder="1" applyAlignment="1">
      <alignment vertical="center"/>
    </xf>
    <xf numFmtId="0" fontId="44" fillId="0" borderId="0" xfId="0" applyFont="1"/>
    <xf numFmtId="0" fontId="0" fillId="12" borderId="22" xfId="0" applyFill="1" applyBorder="1" applyAlignment="1">
      <alignment horizontal="center"/>
    </xf>
    <xf numFmtId="0" fontId="2" fillId="12" borderId="31" xfId="6" applyFill="1" applyBorder="1"/>
    <xf numFmtId="9" fontId="2" fillId="12" borderId="31" xfId="6" applyNumberFormat="1" applyFill="1" applyBorder="1"/>
    <xf numFmtId="9" fontId="2" fillId="12" borderId="31" xfId="3" applyFont="1" applyFill="1" applyBorder="1"/>
    <xf numFmtId="173" fontId="2" fillId="0" borderId="31" xfId="3" applyNumberFormat="1" applyFont="1" applyBorder="1"/>
    <xf numFmtId="173" fontId="2" fillId="0" borderId="31" xfId="6" applyNumberFormat="1" applyBorder="1"/>
    <xf numFmtId="168" fontId="2" fillId="5" borderId="12" xfId="0" applyNumberFormat="1" applyFont="1" applyFill="1" applyBorder="1" applyAlignment="1">
      <alignment horizontal="center"/>
    </xf>
    <xf numFmtId="167" fontId="2" fillId="5" borderId="12" xfId="0" applyNumberFormat="1" applyFont="1" applyFill="1" applyBorder="1"/>
    <xf numFmtId="0" fontId="36" fillId="3" borderId="14" xfId="0" applyFont="1" applyFill="1" applyBorder="1" applyAlignment="1">
      <alignment horizontal="center" vertical="center" wrapText="1"/>
    </xf>
    <xf numFmtId="0" fontId="49" fillId="3" borderId="16" xfId="0" applyFont="1" applyFill="1" applyBorder="1" applyAlignment="1">
      <alignment horizontal="center" vertical="center" wrapText="1"/>
    </xf>
    <xf numFmtId="0" fontId="0" fillId="0" borderId="0" xfId="0" applyAlignment="1">
      <alignment vertical="center"/>
    </xf>
    <xf numFmtId="167" fontId="2" fillId="5" borderId="13" xfId="0" applyNumberFormat="1" applyFont="1" applyFill="1" applyBorder="1"/>
    <xf numFmtId="183" fontId="2" fillId="12" borderId="22" xfId="4" applyNumberFormat="1" applyFont="1" applyFill="1" applyBorder="1" applyAlignment="1">
      <alignment vertical="center"/>
    </xf>
    <xf numFmtId="183" fontId="2" fillId="12" borderId="22" xfId="4" applyNumberFormat="1" applyFont="1" applyFill="1" applyBorder="1" applyAlignment="1">
      <alignment horizontal="right" vertical="center"/>
    </xf>
    <xf numFmtId="183" fontId="11" fillId="0" borderId="22" xfId="4" applyNumberFormat="1" applyFont="1" applyFill="1" applyBorder="1" applyAlignment="1">
      <alignment horizontal="right" vertical="center"/>
    </xf>
    <xf numFmtId="39" fontId="2" fillId="9" borderId="22" xfId="4" applyNumberFormat="1" applyFont="1" applyFill="1" applyBorder="1" applyAlignment="1">
      <alignment vertical="center"/>
    </xf>
    <xf numFmtId="39" fontId="11" fillId="0" borderId="22" xfId="4" applyNumberFormat="1" applyFont="1" applyFill="1" applyBorder="1" applyAlignment="1">
      <alignment vertical="center"/>
    </xf>
    <xf numFmtId="184" fontId="2" fillId="9" borderId="22" xfId="2" applyNumberFormat="1" applyFont="1" applyFill="1" applyBorder="1" applyAlignment="1">
      <alignment vertical="center"/>
    </xf>
    <xf numFmtId="184" fontId="11" fillId="0" borderId="22" xfId="2" applyNumberFormat="1" applyFont="1" applyFill="1" applyBorder="1" applyAlignment="1">
      <alignment vertical="center"/>
    </xf>
    <xf numFmtId="0" fontId="0" fillId="13" borderId="0" xfId="0" applyFill="1"/>
    <xf numFmtId="0" fontId="1" fillId="0" borderId="0" xfId="11" quotePrefix="1" applyFont="1"/>
    <xf numFmtId="0" fontId="46" fillId="9" borderId="15" xfId="0" applyFont="1" applyFill="1" applyBorder="1" applyAlignment="1">
      <alignment horizontal="left"/>
    </xf>
    <xf numFmtId="0" fontId="46" fillId="9" borderId="15" xfId="0" applyFont="1" applyFill="1" applyBorder="1" applyAlignment="1">
      <alignment horizontal="left" wrapText="1"/>
    </xf>
    <xf numFmtId="0" fontId="46" fillId="9" borderId="14" xfId="0" applyFont="1" applyFill="1" applyBorder="1" applyAlignment="1">
      <alignment vertical="center" wrapText="1"/>
    </xf>
    <xf numFmtId="0" fontId="31" fillId="9" borderId="16" xfId="7" applyFill="1" applyBorder="1" applyAlignment="1">
      <alignment vertical="center" wrapText="1"/>
    </xf>
    <xf numFmtId="0" fontId="55" fillId="0" borderId="0" xfId="10" applyFont="1" applyFill="1" applyBorder="1" applyAlignment="1"/>
    <xf numFmtId="0" fontId="21" fillId="0" borderId="2" xfId="0" applyFont="1" applyBorder="1" applyAlignment="1">
      <alignment horizontal="left" vertical="center"/>
    </xf>
    <xf numFmtId="0" fontId="21" fillId="0" borderId="3" xfId="0" applyFont="1" applyBorder="1" applyAlignment="1">
      <alignment horizontal="left" vertical="center"/>
    </xf>
    <xf numFmtId="0" fontId="24" fillId="0" borderId="3" xfId="0" applyFont="1" applyBorder="1" applyAlignment="1">
      <alignment vertical="center"/>
    </xf>
    <xf numFmtId="0" fontId="24" fillId="0" borderId="4" xfId="0" applyFont="1" applyBorder="1" applyAlignment="1">
      <alignment vertical="center"/>
    </xf>
    <xf numFmtId="0" fontId="2" fillId="0" borderId="8" xfId="0" applyFont="1" applyBorder="1" applyAlignment="1">
      <alignment vertical="center"/>
    </xf>
    <xf numFmtId="170" fontId="25" fillId="0" borderId="7" xfId="0" applyNumberFormat="1" applyFont="1" applyBorder="1" applyAlignment="1">
      <alignment horizontal="right" vertical="center"/>
    </xf>
    <xf numFmtId="0" fontId="30" fillId="0" borderId="0" xfId="0" applyFont="1"/>
    <xf numFmtId="171" fontId="25" fillId="0" borderId="7" xfId="0" applyNumberFormat="1" applyFont="1" applyBorder="1" applyAlignment="1">
      <alignment horizontal="right" vertical="center"/>
    </xf>
    <xf numFmtId="172" fontId="25" fillId="0" borderId="31" xfId="0" applyNumberFormat="1" applyFont="1" applyBorder="1" applyAlignment="1">
      <alignment horizontal="right" vertical="center"/>
    </xf>
    <xf numFmtId="173" fontId="25" fillId="0" borderId="7" xfId="0" applyNumberFormat="1" applyFont="1" applyBorder="1" applyAlignment="1">
      <alignment horizontal="right" vertical="center"/>
    </xf>
    <xf numFmtId="0" fontId="2" fillId="0" borderId="11" xfId="0" applyFont="1" applyBorder="1" applyAlignment="1">
      <alignment vertical="center"/>
    </xf>
    <xf numFmtId="0" fontId="26" fillId="0" borderId="12" xfId="0" quotePrefix="1" applyFont="1" applyBorder="1" applyAlignment="1">
      <alignment horizontal="left" vertical="center"/>
    </xf>
    <xf numFmtId="173" fontId="25" fillId="0" borderId="12" xfId="0" applyNumberFormat="1" applyFont="1" applyBorder="1" applyAlignment="1">
      <alignment horizontal="right" vertical="center"/>
    </xf>
    <xf numFmtId="173" fontId="25" fillId="0" borderId="13" xfId="0" applyNumberFormat="1" applyFont="1" applyBorder="1" applyAlignment="1">
      <alignment horizontal="right" vertical="center"/>
    </xf>
    <xf numFmtId="175" fontId="25" fillId="0" borderId="31" xfId="2" applyNumberFormat="1" applyFont="1" applyFill="1" applyBorder="1" applyAlignment="1">
      <alignment horizontal="right" vertical="center"/>
    </xf>
    <xf numFmtId="175" fontId="25" fillId="0" borderId="32" xfId="2" applyNumberFormat="1" applyFont="1" applyFill="1" applyBorder="1" applyAlignment="1">
      <alignment horizontal="right" vertical="center"/>
    </xf>
    <xf numFmtId="0" fontId="36" fillId="12" borderId="14" xfId="0" applyFont="1" applyFill="1" applyBorder="1" applyAlignment="1">
      <alignment horizontal="center" vertical="center" wrapText="1"/>
    </xf>
    <xf numFmtId="0" fontId="2" fillId="12" borderId="36" xfId="0" applyFont="1" applyFill="1" applyBorder="1" applyAlignment="1">
      <alignment horizontal="center" vertical="center"/>
    </xf>
    <xf numFmtId="0" fontId="2" fillId="12" borderId="17" xfId="0" applyFont="1" applyFill="1" applyBorder="1" applyAlignment="1">
      <alignment horizontal="center" vertical="center"/>
    </xf>
    <xf numFmtId="0" fontId="49" fillId="12" borderId="16" xfId="0" applyFont="1" applyFill="1" applyBorder="1" applyAlignment="1">
      <alignment horizontal="center" vertical="center" wrapText="1"/>
    </xf>
    <xf numFmtId="0" fontId="2" fillId="12" borderId="32" xfId="6" applyFill="1" applyBorder="1"/>
    <xf numFmtId="0" fontId="2" fillId="0" borderId="32" xfId="6" applyBorder="1"/>
    <xf numFmtId="168" fontId="56" fillId="12" borderId="0" xfId="0" applyNumberFormat="1" applyFont="1" applyFill="1" applyAlignment="1">
      <alignment vertical="center"/>
    </xf>
    <xf numFmtId="168" fontId="56" fillId="0" borderId="0" xfId="0" applyNumberFormat="1" applyFont="1" applyAlignment="1">
      <alignment horizontal="left" vertical="center"/>
    </xf>
    <xf numFmtId="0" fontId="57" fillId="0" borderId="0" xfId="0" applyFont="1"/>
    <xf numFmtId="183" fontId="0" fillId="0" borderId="22" xfId="0" applyNumberFormat="1" applyBorder="1"/>
    <xf numFmtId="183" fontId="0" fillId="0" borderId="0" xfId="0" applyNumberFormat="1"/>
    <xf numFmtId="0" fontId="55" fillId="0" borderId="0" xfId="10" applyFont="1" applyFill="1" applyBorder="1" applyAlignment="1">
      <alignment wrapText="1"/>
    </xf>
    <xf numFmtId="0" fontId="52" fillId="10" borderId="15" xfId="0" applyFont="1" applyFill="1" applyBorder="1" applyAlignment="1">
      <alignment vertical="center" wrapText="1"/>
    </xf>
    <xf numFmtId="0" fontId="52" fillId="16" borderId="15" xfId="0" applyFont="1" applyFill="1" applyBorder="1" applyAlignment="1">
      <alignment vertical="center" wrapText="1"/>
    </xf>
    <xf numFmtId="0" fontId="52" fillId="11" borderId="14" xfId="0" applyFont="1" applyFill="1" applyBorder="1" applyAlignment="1">
      <alignment vertical="center" wrapText="1"/>
    </xf>
    <xf numFmtId="0" fontId="52" fillId="14" borderId="15" xfId="0" applyFont="1" applyFill="1" applyBorder="1" applyAlignment="1">
      <alignment vertical="center" wrapText="1"/>
    </xf>
    <xf numFmtId="0" fontId="52" fillId="8" borderId="15" xfId="0" applyFont="1" applyFill="1" applyBorder="1" applyAlignment="1">
      <alignment vertical="center" wrapText="1"/>
    </xf>
    <xf numFmtId="0" fontId="28" fillId="3" borderId="11" xfId="6" applyFont="1" applyFill="1" applyBorder="1"/>
    <xf numFmtId="0" fontId="28" fillId="3" borderId="12" xfId="6" applyFont="1" applyFill="1" applyBorder="1"/>
    <xf numFmtId="0" fontId="28" fillId="3" borderId="13" xfId="6" applyFont="1" applyFill="1" applyBorder="1"/>
    <xf numFmtId="0" fontId="14" fillId="0" borderId="4" xfId="0" applyFont="1" applyBorder="1" applyAlignment="1">
      <alignment horizontal="center" vertical="center" wrapText="1"/>
    </xf>
    <xf numFmtId="0" fontId="21" fillId="7" borderId="8" xfId="0" applyFont="1" applyFill="1" applyBorder="1" applyAlignment="1">
      <alignment horizontal="left" vertical="center"/>
    </xf>
    <xf numFmtId="0" fontId="24" fillId="7" borderId="7" xfId="0" applyFont="1" applyFill="1" applyBorder="1" applyAlignment="1">
      <alignment vertical="center"/>
    </xf>
    <xf numFmtId="0" fontId="2" fillId="7" borderId="8" xfId="0" applyFont="1" applyFill="1" applyBorder="1" applyAlignment="1">
      <alignment vertical="center"/>
    </xf>
    <xf numFmtId="164" fontId="25" fillId="12" borderId="20" xfId="0" applyNumberFormat="1" applyFont="1" applyFill="1" applyBorder="1" applyAlignment="1">
      <alignment horizontal="right" vertical="center"/>
    </xf>
    <xf numFmtId="164" fontId="25" fillId="12" borderId="64" xfId="0" applyNumberFormat="1" applyFont="1" applyFill="1" applyBorder="1" applyAlignment="1">
      <alignment horizontal="right" vertical="center"/>
    </xf>
    <xf numFmtId="0" fontId="2" fillId="7" borderId="7" xfId="0" applyFont="1" applyFill="1" applyBorder="1"/>
    <xf numFmtId="172" fontId="25" fillId="12" borderId="20" xfId="0" applyNumberFormat="1" applyFont="1" applyFill="1" applyBorder="1" applyAlignment="1">
      <alignment horizontal="right" vertical="center"/>
    </xf>
    <xf numFmtId="0" fontId="2" fillId="7" borderId="11" xfId="0" applyFont="1" applyFill="1" applyBorder="1" applyAlignment="1">
      <alignment vertical="center"/>
    </xf>
    <xf numFmtId="0" fontId="26" fillId="7" borderId="12" xfId="0" quotePrefix="1" applyFont="1" applyFill="1" applyBorder="1" applyAlignment="1">
      <alignment horizontal="left" vertical="center"/>
    </xf>
    <xf numFmtId="164" fontId="25" fillId="7" borderId="13" xfId="0" applyNumberFormat="1" applyFont="1" applyFill="1" applyBorder="1" applyAlignment="1">
      <alignment horizontal="right" vertical="center"/>
    </xf>
    <xf numFmtId="49" fontId="14" fillId="0" borderId="13" xfId="3" applyNumberFormat="1" applyFont="1" applyBorder="1" applyAlignment="1">
      <alignment horizontal="center" vertical="center" wrapText="1"/>
    </xf>
    <xf numFmtId="0" fontId="24" fillId="7" borderId="15" xfId="0" applyFont="1" applyFill="1" applyBorder="1" applyAlignment="1">
      <alignment vertical="center"/>
    </xf>
    <xf numFmtId="164" fontId="25" fillId="7" borderId="15" xfId="0" applyNumberFormat="1" applyFont="1" applyFill="1" applyBorder="1" applyAlignment="1">
      <alignment horizontal="right" vertical="center"/>
    </xf>
    <xf numFmtId="0" fontId="2" fillId="7" borderId="15" xfId="0" applyFont="1" applyFill="1" applyBorder="1"/>
    <xf numFmtId="172" fontId="25" fillId="7" borderId="15" xfId="0" applyNumberFormat="1" applyFont="1" applyFill="1" applyBorder="1" applyAlignment="1">
      <alignment horizontal="right" vertical="center"/>
    </xf>
    <xf numFmtId="173" fontId="25" fillId="7" borderId="16" xfId="0" applyNumberFormat="1" applyFont="1" applyFill="1" applyBorder="1" applyAlignment="1">
      <alignment horizontal="right" vertical="center"/>
    </xf>
    <xf numFmtId="0" fontId="14" fillId="0" borderId="11" xfId="0" applyFont="1" applyBorder="1" applyAlignment="1">
      <alignment horizontal="center" vertical="center" wrapText="1"/>
    </xf>
    <xf numFmtId="0" fontId="24" fillId="7" borderId="8" xfId="0" applyFont="1" applyFill="1" applyBorder="1" applyAlignment="1">
      <alignment vertical="center"/>
    </xf>
    <xf numFmtId="164" fontId="25" fillId="12" borderId="65" xfId="0" applyNumberFormat="1" applyFont="1" applyFill="1" applyBorder="1" applyAlignment="1">
      <alignment horizontal="right" vertical="center"/>
    </xf>
    <xf numFmtId="164" fontId="25" fillId="12" borderId="66" xfId="0" applyNumberFormat="1" applyFont="1" applyFill="1" applyBorder="1" applyAlignment="1">
      <alignment horizontal="right" vertical="center"/>
    </xf>
    <xf numFmtId="0" fontId="2" fillId="7" borderId="8" xfId="0" applyFont="1" applyFill="1" applyBorder="1"/>
    <xf numFmtId="172" fontId="25" fillId="12" borderId="65" xfId="0" applyNumberFormat="1" applyFont="1" applyFill="1" applyBorder="1" applyAlignment="1">
      <alignment horizontal="right" vertical="center"/>
    </xf>
    <xf numFmtId="173" fontId="25" fillId="7" borderId="11" xfId="0" applyNumberFormat="1" applyFont="1" applyFill="1" applyBorder="1" applyAlignment="1">
      <alignment horizontal="right" vertical="center"/>
    </xf>
    <xf numFmtId="173" fontId="25" fillId="7" borderId="13" xfId="0" applyNumberFormat="1" applyFont="1" applyFill="1" applyBorder="1" applyAlignment="1">
      <alignment horizontal="right" vertical="center"/>
    </xf>
    <xf numFmtId="164" fontId="25" fillId="12" borderId="51" xfId="0" applyNumberFormat="1" applyFont="1" applyFill="1" applyBorder="1" applyAlignment="1">
      <alignment horizontal="right" vertical="center"/>
    </xf>
    <xf numFmtId="164" fontId="25" fillId="12" borderId="67" xfId="0" applyNumberFormat="1" applyFont="1" applyFill="1" applyBorder="1" applyAlignment="1">
      <alignment horizontal="right" vertical="center"/>
    </xf>
    <xf numFmtId="172" fontId="25" fillId="12" borderId="51" xfId="0" applyNumberFormat="1" applyFont="1" applyFill="1" applyBorder="1" applyAlignment="1">
      <alignment horizontal="right" vertical="center"/>
    </xf>
    <xf numFmtId="164" fontId="25" fillId="12" borderId="17" xfId="0" applyNumberFormat="1" applyFont="1" applyFill="1" applyBorder="1" applyAlignment="1">
      <alignment horizontal="right" vertical="center"/>
    </xf>
    <xf numFmtId="164" fontId="25" fillId="12" borderId="36" xfId="0" applyNumberFormat="1" applyFont="1" applyFill="1" applyBorder="1" applyAlignment="1">
      <alignment horizontal="right" vertical="center"/>
    </xf>
    <xf numFmtId="172" fontId="25" fillId="12" borderId="17" xfId="0" applyNumberFormat="1" applyFont="1" applyFill="1" applyBorder="1" applyAlignment="1">
      <alignment horizontal="right" vertical="center"/>
    </xf>
    <xf numFmtId="164" fontId="25" fillId="7" borderId="16" xfId="0" applyNumberFormat="1" applyFont="1" applyFill="1" applyBorder="1" applyAlignment="1">
      <alignment horizontal="right" vertical="center"/>
    </xf>
    <xf numFmtId="0" fontId="46" fillId="9" borderId="22" xfId="0" applyFont="1" applyFill="1" applyBorder="1" applyAlignment="1">
      <alignment vertical="center" wrapText="1"/>
    </xf>
    <xf numFmtId="0" fontId="46" fillId="9" borderId="14" xfId="0" applyFont="1" applyFill="1" applyBorder="1" applyAlignment="1">
      <alignment horizontal="left"/>
    </xf>
    <xf numFmtId="0" fontId="52" fillId="15" borderId="16" xfId="0" applyFont="1" applyFill="1" applyBorder="1" applyAlignment="1">
      <alignment vertical="center" wrapText="1"/>
    </xf>
    <xf numFmtId="0" fontId="53" fillId="13" borderId="60" xfId="9" applyFont="1" applyFill="1" applyAlignment="1">
      <alignment horizontal="left" vertical="top" wrapText="1"/>
    </xf>
    <xf numFmtId="0" fontId="46" fillId="9" borderId="16" xfId="0" applyFont="1" applyFill="1" applyBorder="1" applyAlignment="1">
      <alignment horizontal="left" wrapText="1"/>
    </xf>
    <xf numFmtId="0" fontId="11" fillId="12" borderId="14" xfId="0" applyFont="1" applyFill="1" applyBorder="1" applyAlignment="1">
      <alignment horizontal="center" vertical="center"/>
    </xf>
    <xf numFmtId="0" fontId="11" fillId="12" borderId="15" xfId="0" applyFont="1" applyFill="1" applyBorder="1" applyAlignment="1">
      <alignment horizontal="center" vertical="center"/>
    </xf>
    <xf numFmtId="0" fontId="11" fillId="12" borderId="15" xfId="0" applyFont="1" applyFill="1" applyBorder="1" applyAlignment="1">
      <alignment horizontal="center" vertical="center" wrapText="1"/>
    </xf>
    <xf numFmtId="5" fontId="2" fillId="12" borderId="17" xfId="1" applyNumberFormat="1" applyFont="1" applyFill="1" applyBorder="1" applyAlignment="1" applyProtection="1">
      <alignment vertical="center"/>
    </xf>
    <xf numFmtId="0" fontId="14" fillId="3" borderId="14" xfId="0" applyFont="1" applyFill="1" applyBorder="1" applyAlignment="1">
      <alignment horizontal="center" vertical="center" wrapText="1"/>
    </xf>
    <xf numFmtId="0" fontId="14" fillId="17" borderId="16" xfId="0" applyFont="1" applyFill="1" applyBorder="1" applyAlignment="1">
      <alignment horizontal="center" vertical="center" wrapText="1"/>
    </xf>
    <xf numFmtId="5" fontId="2" fillId="17" borderId="17" xfId="1" applyNumberFormat="1" applyFont="1" applyFill="1" applyBorder="1" applyAlignment="1" applyProtection="1">
      <alignment vertical="center"/>
    </xf>
    <xf numFmtId="167" fontId="58" fillId="0" borderId="0" xfId="0" applyNumberFormat="1" applyFont="1"/>
    <xf numFmtId="0" fontId="28" fillId="3" borderId="0" xfId="6" applyFont="1" applyFill="1" applyAlignment="1">
      <alignment vertical="center"/>
    </xf>
    <xf numFmtId="175" fontId="41" fillId="0" borderId="13" xfId="2" applyNumberFormat="1" applyFont="1" applyBorder="1"/>
    <xf numFmtId="0" fontId="46" fillId="9" borderId="22" xfId="0" applyFont="1" applyFill="1" applyBorder="1" applyAlignment="1">
      <alignment vertical="top" wrapText="1"/>
    </xf>
    <xf numFmtId="172" fontId="29" fillId="0" borderId="62" xfId="0" applyNumberFormat="1" applyFont="1" applyBorder="1" applyAlignment="1">
      <alignment horizontal="left" vertical="center" wrapText="1"/>
    </xf>
    <xf numFmtId="172" fontId="29" fillId="0" borderId="6" xfId="0" applyNumberFormat="1" applyFont="1" applyBorder="1" applyAlignment="1">
      <alignment horizontal="left" vertical="center" wrapText="1"/>
    </xf>
    <xf numFmtId="172" fontId="29" fillId="0" borderId="63" xfId="0" applyNumberFormat="1" applyFont="1" applyBorder="1" applyAlignment="1">
      <alignment horizontal="left"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41" fillId="0" borderId="7" xfId="0" applyFont="1" applyBorder="1" applyAlignment="1">
      <alignment horizontal="center" vertical="center"/>
    </xf>
    <xf numFmtId="168" fontId="5" fillId="0" borderId="0" xfId="0" applyNumberFormat="1" applyFont="1" applyAlignment="1">
      <alignment horizontal="left" vertical="center"/>
    </xf>
    <xf numFmtId="168" fontId="56" fillId="12" borderId="0" xfId="0" applyNumberFormat="1" applyFont="1" applyFill="1" applyAlignment="1">
      <alignment horizontal="left" vertical="center"/>
    </xf>
    <xf numFmtId="0" fontId="41" fillId="0" borderId="7" xfId="0" applyFont="1" applyBorder="1" applyAlignment="1">
      <alignment horizontal="center"/>
    </xf>
    <xf numFmtId="168" fontId="5" fillId="0" borderId="0" xfId="0" applyNumberFormat="1" applyFont="1" applyAlignment="1">
      <alignment horizontal="left" vertical="center" wrapText="1"/>
    </xf>
    <xf numFmtId="0" fontId="2" fillId="3" borderId="44" xfId="6" applyFill="1" applyBorder="1" applyAlignment="1">
      <alignment horizontal="left" wrapText="1"/>
    </xf>
    <xf numFmtId="0" fontId="2" fillId="3" borderId="0" xfId="6" applyFill="1" applyAlignment="1">
      <alignment horizontal="left" wrapText="1"/>
    </xf>
    <xf numFmtId="0" fontId="2" fillId="3" borderId="7" xfId="6" applyFill="1" applyBorder="1" applyAlignment="1">
      <alignment horizontal="left" wrapText="1"/>
    </xf>
    <xf numFmtId="0" fontId="2" fillId="3" borderId="44" xfId="6" applyFill="1" applyBorder="1" applyAlignment="1">
      <alignment horizontal="left"/>
    </xf>
    <xf numFmtId="0" fontId="2" fillId="3" borderId="0" xfId="6" applyFill="1" applyAlignment="1">
      <alignment horizontal="left"/>
    </xf>
    <xf numFmtId="0" fontId="2" fillId="3" borderId="7" xfId="6" applyFill="1" applyBorder="1" applyAlignment="1">
      <alignment horizontal="left"/>
    </xf>
    <xf numFmtId="0" fontId="2" fillId="3" borderId="44" xfId="6" applyFill="1" applyBorder="1" applyAlignment="1">
      <alignment horizontal="left" vertical="top" wrapText="1"/>
    </xf>
    <xf numFmtId="0" fontId="2" fillId="3" borderId="0" xfId="6" applyFill="1" applyAlignment="1">
      <alignment horizontal="left" vertical="top" wrapText="1"/>
    </xf>
    <xf numFmtId="0" fontId="2" fillId="3" borderId="7" xfId="6" applyFill="1" applyBorder="1" applyAlignment="1">
      <alignment horizontal="left" vertical="top" wrapText="1"/>
    </xf>
    <xf numFmtId="0" fontId="59" fillId="3" borderId="44" xfId="6" applyFont="1" applyFill="1" applyBorder="1" applyAlignment="1">
      <alignment horizontal="left" vertical="center" wrapText="1"/>
    </xf>
    <xf numFmtId="0" fontId="59" fillId="3" borderId="0" xfId="6" applyFont="1" applyFill="1" applyAlignment="1">
      <alignment horizontal="left" vertical="center" wrapText="1"/>
    </xf>
    <xf numFmtId="0" fontId="59" fillId="3" borderId="7" xfId="6" applyFont="1" applyFill="1" applyBorder="1" applyAlignment="1">
      <alignment horizontal="left" vertical="center" wrapText="1"/>
    </xf>
    <xf numFmtId="167" fontId="2" fillId="0" borderId="22" xfId="4" applyNumberFormat="1" applyFont="1" applyFill="1" applyBorder="1" applyAlignment="1">
      <alignment horizontal="center" vertical="center" wrapText="1"/>
    </xf>
    <xf numFmtId="37" fontId="2" fillId="0" borderId="22" xfId="4" applyNumberFormat="1" applyFont="1" applyFill="1" applyBorder="1" applyAlignment="1">
      <alignment horizontal="center" vertical="center"/>
    </xf>
    <xf numFmtId="37" fontId="2" fillId="0" borderId="22" xfId="4" applyNumberFormat="1" applyFont="1" applyFill="1" applyBorder="1" applyAlignment="1">
      <alignment horizontal="center" vertical="center" wrapText="1"/>
    </xf>
    <xf numFmtId="0" fontId="2" fillId="0" borderId="7" xfId="0" applyFont="1" applyBorder="1" applyAlignment="1">
      <alignment horizontal="center"/>
    </xf>
    <xf numFmtId="167" fontId="2" fillId="0" borderId="0" xfId="0" applyNumberFormat="1" applyFont="1" applyAlignment="1">
      <alignment horizontal="left" vertical="top" wrapText="1"/>
    </xf>
    <xf numFmtId="168" fontId="2" fillId="4" borderId="5" xfId="0" applyNumberFormat="1" applyFont="1" applyFill="1" applyBorder="1" applyAlignment="1">
      <alignment horizontal="left" vertical="center" wrapText="1"/>
    </xf>
    <xf numFmtId="168" fontId="2" fillId="4" borderId="6" xfId="0" applyNumberFormat="1" applyFont="1" applyFill="1" applyBorder="1" applyAlignment="1">
      <alignment horizontal="left" vertical="center" wrapText="1"/>
    </xf>
    <xf numFmtId="168" fontId="2" fillId="4" borderId="51" xfId="0" applyNumberFormat="1" applyFont="1" applyFill="1" applyBorder="1" applyAlignment="1">
      <alignment horizontal="left" vertical="center" wrapText="1"/>
    </xf>
    <xf numFmtId="168" fontId="2" fillId="4" borderId="5" xfId="0" applyNumberFormat="1" applyFont="1" applyFill="1" applyBorder="1" applyAlignment="1">
      <alignment horizontal="left" vertical="center"/>
    </xf>
    <xf numFmtId="168" fontId="2" fillId="4" borderId="6" xfId="0" applyNumberFormat="1" applyFont="1" applyFill="1" applyBorder="1" applyAlignment="1">
      <alignment horizontal="left" vertical="center"/>
    </xf>
    <xf numFmtId="168" fontId="2" fillId="4" borderId="51" xfId="0" applyNumberFormat="1" applyFont="1" applyFill="1" applyBorder="1" applyAlignment="1">
      <alignment horizontal="left" vertical="center"/>
    </xf>
    <xf numFmtId="168" fontId="2" fillId="4" borderId="5" xfId="0" applyNumberFormat="1" applyFont="1" applyFill="1" applyBorder="1" applyAlignment="1">
      <alignment horizontal="left" vertical="center" indent="1"/>
    </xf>
    <xf numFmtId="168" fontId="2" fillId="4" borderId="6" xfId="0" applyNumberFormat="1" applyFont="1" applyFill="1" applyBorder="1" applyAlignment="1">
      <alignment horizontal="left" vertical="center" indent="1"/>
    </xf>
    <xf numFmtId="168" fontId="2" fillId="4" borderId="51" xfId="0" applyNumberFormat="1" applyFont="1" applyFill="1" applyBorder="1" applyAlignment="1">
      <alignment horizontal="left" vertical="center" indent="1"/>
    </xf>
    <xf numFmtId="168" fontId="2" fillId="4" borderId="5" xfId="0" applyNumberFormat="1" applyFont="1" applyFill="1" applyBorder="1" applyAlignment="1">
      <alignment horizontal="left" vertical="center" wrapText="1" indent="1"/>
    </xf>
    <xf numFmtId="168" fontId="2" fillId="4" borderId="6" xfId="0" applyNumberFormat="1" applyFont="1" applyFill="1" applyBorder="1" applyAlignment="1">
      <alignment horizontal="left" vertical="center" wrapText="1" indent="1"/>
    </xf>
    <xf numFmtId="168" fontId="2" fillId="4" borderId="51" xfId="0" applyNumberFormat="1" applyFont="1" applyFill="1" applyBorder="1" applyAlignment="1">
      <alignment horizontal="left" vertical="center" wrapText="1" indent="1"/>
    </xf>
    <xf numFmtId="168" fontId="2" fillId="4" borderId="5" xfId="0" applyNumberFormat="1" applyFont="1" applyFill="1" applyBorder="1" applyAlignment="1">
      <alignment horizontal="center" vertical="center"/>
    </xf>
    <xf numFmtId="168" fontId="2" fillId="4" borderId="6" xfId="0" applyNumberFormat="1" applyFont="1" applyFill="1" applyBorder="1" applyAlignment="1">
      <alignment horizontal="center" vertical="center"/>
    </xf>
    <xf numFmtId="168" fontId="2" fillId="4" borderId="51" xfId="0" applyNumberFormat="1" applyFont="1" applyFill="1" applyBorder="1" applyAlignment="1">
      <alignment horizontal="center" vertical="center"/>
    </xf>
    <xf numFmtId="167" fontId="11" fillId="0" borderId="14" xfId="4" applyNumberFormat="1" applyFont="1" applyFill="1" applyBorder="1" applyAlignment="1">
      <alignment horizontal="center" vertical="center" wrapText="1"/>
    </xf>
    <xf numFmtId="167" fontId="11" fillId="0" borderId="16" xfId="4" applyNumberFormat="1" applyFont="1" applyFill="1" applyBorder="1" applyAlignment="1">
      <alignment horizontal="center" vertical="center" wrapText="1"/>
    </xf>
    <xf numFmtId="37" fontId="11" fillId="0" borderId="21" xfId="4" applyNumberFormat="1" applyFont="1" applyFill="1" applyBorder="1" applyAlignment="1">
      <alignment horizontal="center" vertical="center"/>
    </xf>
    <xf numFmtId="37" fontId="11" fillId="0" borderId="23" xfId="4" applyNumberFormat="1" applyFont="1" applyFill="1" applyBorder="1" applyAlignment="1">
      <alignment horizontal="center" vertical="center"/>
    </xf>
    <xf numFmtId="37" fontId="11" fillId="0" borderId="21" xfId="4" applyNumberFormat="1" applyFont="1" applyFill="1" applyBorder="1" applyAlignment="1">
      <alignment horizontal="center" vertical="center" wrapText="1"/>
    </xf>
    <xf numFmtId="37" fontId="11" fillId="0" borderId="23" xfId="4" applyNumberFormat="1" applyFont="1" applyFill="1" applyBorder="1" applyAlignment="1">
      <alignment horizontal="center" vertical="center" wrapText="1"/>
    </xf>
    <xf numFmtId="37" fontId="2" fillId="0" borderId="8" xfId="4" applyNumberFormat="1" applyFont="1" applyFill="1" applyBorder="1" applyAlignment="1">
      <alignment horizontal="center" vertical="center" wrapText="1"/>
    </xf>
    <xf numFmtId="167" fontId="2" fillId="0" borderId="14" xfId="4" applyNumberFormat="1" applyFont="1" applyFill="1" applyBorder="1" applyAlignment="1">
      <alignment horizontal="center" vertical="center" wrapText="1"/>
    </xf>
    <xf numFmtId="167" fontId="2" fillId="0" borderId="15" xfId="4" applyNumberFormat="1" applyFont="1" applyFill="1" applyBorder="1" applyAlignment="1">
      <alignment horizontal="center" vertical="center" wrapText="1"/>
    </xf>
    <xf numFmtId="167" fontId="2" fillId="0" borderId="16" xfId="4" applyNumberFormat="1" applyFont="1" applyFill="1" applyBorder="1" applyAlignment="1">
      <alignment horizontal="center" vertical="center" wrapText="1"/>
    </xf>
    <xf numFmtId="37" fontId="2" fillId="0" borderId="21" xfId="4" applyNumberFormat="1" applyFont="1" applyFill="1" applyBorder="1" applyAlignment="1">
      <alignment horizontal="center" vertical="center"/>
    </xf>
    <xf numFmtId="37" fontId="2" fillId="0" borderId="19" xfId="4" applyNumberFormat="1" applyFont="1" applyFill="1" applyBorder="1" applyAlignment="1">
      <alignment horizontal="center" vertical="center"/>
    </xf>
    <xf numFmtId="37" fontId="2" fillId="0" borderId="23" xfId="4" applyNumberFormat="1" applyFont="1" applyFill="1" applyBorder="1" applyAlignment="1">
      <alignment horizontal="center" vertical="center"/>
    </xf>
    <xf numFmtId="37" fontId="2" fillId="0" borderId="21" xfId="4" applyNumberFormat="1" applyFont="1" applyFill="1" applyBorder="1" applyAlignment="1">
      <alignment horizontal="center" vertical="center" wrapText="1"/>
    </xf>
    <xf numFmtId="37" fontId="2" fillId="0" borderId="19" xfId="4" applyNumberFormat="1" applyFont="1" applyFill="1" applyBorder="1" applyAlignment="1">
      <alignment horizontal="center" vertical="center" wrapText="1"/>
    </xf>
    <xf numFmtId="37" fontId="2" fillId="0" borderId="23" xfId="4" applyNumberFormat="1" applyFont="1" applyFill="1" applyBorder="1" applyAlignment="1">
      <alignment horizontal="center" vertical="center" wrapText="1"/>
    </xf>
  </cellXfs>
  <cellStyles count="12">
    <cellStyle name="Comma" xfId="1" builtinId="3"/>
    <cellStyle name="Comma 2" xfId="8" xr:uid="{607151A1-EDB0-4CE2-BFEA-E5E6A358B37C}"/>
    <cellStyle name="Currency" xfId="2" builtinId="4"/>
    <cellStyle name="Heading 1" xfId="9" builtinId="16"/>
    <cellStyle name="Heading 2" xfId="10" builtinId="17"/>
    <cellStyle name="Hyperlink" xfId="7" builtinId="8"/>
    <cellStyle name="Normal" xfId="0" builtinId="0"/>
    <cellStyle name="Normal 2" xfId="5" xr:uid="{6227B0FB-9F50-4AF7-9E16-DF1FC9962AF8}"/>
    <cellStyle name="Normal 2 2 2 2" xfId="6" xr:uid="{DD9B818F-069F-4AB6-B674-501C261FE5A6}"/>
    <cellStyle name="Normal 7" xfId="11" xr:uid="{89FB8AF1-1C09-4C36-86E8-5E3EE1194076}"/>
    <cellStyle name="Note" xfId="4" builtinId="10"/>
    <cellStyle name="Percent" xfId="3" builtinId="5"/>
  </cellStyles>
  <dxfs count="0"/>
  <tableStyles count="0" defaultTableStyle="TableStyleMedium2" defaultPivotStyle="PivotStyleLight16"/>
  <colors>
    <mruColors>
      <color rgb="FFFFFFCC"/>
      <color rgb="FFFFCCCC"/>
      <color rgb="FFD0CECE"/>
      <color rgb="FFCC6600"/>
      <color rgb="FFAFA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EC519804-2BC9-4853-AACD-0C43C4980393}"/>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0</xdr:row>
      <xdr:rowOff>6569</xdr:rowOff>
    </xdr:from>
    <xdr:ext cx="2123402" cy="937629"/>
    <xdr:sp macro="" textlink="">
      <xdr:nvSpPr>
        <xdr:cNvPr id="2" name="Rectangle 1">
          <a:extLst>
            <a:ext uri="{FF2B5EF4-FFF2-40B4-BE49-F238E27FC236}">
              <a16:creationId xmlns:a16="http://schemas.microsoft.com/office/drawing/2014/main" id="{7E193952-314B-4B30-BDE5-29A580376F18}"/>
            </a:ext>
          </a:extLst>
        </xdr:cNvPr>
        <xdr:cNvSpPr/>
      </xdr:nvSpPr>
      <xdr:spPr>
        <a:xfrm>
          <a:off x="840828" y="6569"/>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BA38AEB2-8259-4463-83B4-918E3BDAFEFF}"/>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48C47460-534B-49D8-B07D-8D79640700F4}"/>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BE1BD349-1021-415C-B22B-8BB1019C56FE}"/>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DD97D825-263C-4BAA-A2A2-B544976178FB}"/>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6A0DD25F-EDEA-4002-A6A6-595F369C5815}"/>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4" name="Rectangle 3">
          <a:extLst>
            <a:ext uri="{FF2B5EF4-FFF2-40B4-BE49-F238E27FC236}">
              <a16:creationId xmlns:a16="http://schemas.microsoft.com/office/drawing/2014/main" id="{5594BDDC-B809-40E8-A855-85429D32ED07}"/>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4" name="Rectangle 3">
          <a:extLst>
            <a:ext uri="{FF2B5EF4-FFF2-40B4-BE49-F238E27FC236}">
              <a16:creationId xmlns:a16="http://schemas.microsoft.com/office/drawing/2014/main" id="{3FA34089-F40A-422E-9E71-4A73346EDEB4}"/>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3" name="Rectangle 2">
          <a:extLst>
            <a:ext uri="{FF2B5EF4-FFF2-40B4-BE49-F238E27FC236}">
              <a16:creationId xmlns:a16="http://schemas.microsoft.com/office/drawing/2014/main" id="{72E3597F-B55A-41DF-BFDF-6280151C0805}"/>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571500</xdr:colOff>
      <xdr:row>0</xdr:row>
      <xdr:rowOff>19050</xdr:rowOff>
    </xdr:from>
    <xdr:ext cx="2123402" cy="937629"/>
    <xdr:sp macro="" textlink="">
      <xdr:nvSpPr>
        <xdr:cNvPr id="3" name="Rectangle 2">
          <a:extLst>
            <a:ext uri="{FF2B5EF4-FFF2-40B4-BE49-F238E27FC236}">
              <a16:creationId xmlns:a16="http://schemas.microsoft.com/office/drawing/2014/main" id="{DDA80C91-0D98-4482-9BF1-7ABD14C8DA5B}"/>
            </a:ext>
          </a:extLst>
        </xdr:cNvPr>
        <xdr:cNvSpPr/>
      </xdr:nvSpPr>
      <xdr:spPr>
        <a:xfrm>
          <a:off x="571500" y="1905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15B0BE0C-10D5-49C3-889F-967672816A6A}"/>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B01B01AD-2187-4617-ADFF-951D11B7FF78}"/>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6102C2BC-5629-4AFE-AF90-5F56179A1520}"/>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B5FE98CA-F262-4C9B-8DEF-F817176B814C}"/>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10</xdr:col>
      <xdr:colOff>588196</xdr:colOff>
      <xdr:row>45</xdr:row>
      <xdr:rowOff>126628</xdr:rowOff>
    </xdr:from>
    <xdr:to>
      <xdr:col>14</xdr:col>
      <xdr:colOff>562647</xdr:colOff>
      <xdr:row>52</xdr:row>
      <xdr:rowOff>16071</xdr:rowOff>
    </xdr:to>
    <xdr:pic>
      <xdr:nvPicPr>
        <xdr:cNvPr id="3" name="Picture 2">
          <a:extLst>
            <a:ext uri="{FF2B5EF4-FFF2-40B4-BE49-F238E27FC236}">
              <a16:creationId xmlns:a16="http://schemas.microsoft.com/office/drawing/2014/main" id="{770E4192-F486-F9A6-A31B-A06504839874}"/>
            </a:ext>
          </a:extLst>
        </xdr:cNvPr>
        <xdr:cNvPicPr>
          <a:picLocks noChangeAspect="1"/>
        </xdr:cNvPicPr>
      </xdr:nvPicPr>
      <xdr:blipFill>
        <a:blip xmlns:r="http://schemas.openxmlformats.org/officeDocument/2006/relationships" r:embed="rId1"/>
        <a:stretch>
          <a:fillRect/>
        </a:stretch>
      </xdr:blipFill>
      <xdr:spPr>
        <a:xfrm>
          <a:off x="13172402" y="7051863"/>
          <a:ext cx="3677435" cy="1247594"/>
        </a:xfrm>
        <a:prstGeom prst="rect">
          <a:avLst/>
        </a:prstGeom>
      </xdr:spPr>
    </xdr:pic>
    <xdr:clientData/>
  </xdr:twoCellAnchor>
  <xdr:twoCellAnchor editAs="oneCell">
    <xdr:from>
      <xdr:col>11</xdr:col>
      <xdr:colOff>313541</xdr:colOff>
      <xdr:row>75</xdr:row>
      <xdr:rowOff>51139</xdr:rowOff>
    </xdr:from>
    <xdr:to>
      <xdr:col>18</xdr:col>
      <xdr:colOff>389823</xdr:colOff>
      <xdr:row>80</xdr:row>
      <xdr:rowOff>134359</xdr:rowOff>
    </xdr:to>
    <xdr:pic>
      <xdr:nvPicPr>
        <xdr:cNvPr id="4" name="Picture 3">
          <a:extLst>
            <a:ext uri="{FF2B5EF4-FFF2-40B4-BE49-F238E27FC236}">
              <a16:creationId xmlns:a16="http://schemas.microsoft.com/office/drawing/2014/main" id="{F2B1D179-2D9C-C503-74DF-491417DC627B}"/>
            </a:ext>
          </a:extLst>
        </xdr:cNvPr>
        <xdr:cNvPicPr>
          <a:picLocks noChangeAspect="1"/>
        </xdr:cNvPicPr>
      </xdr:nvPicPr>
      <xdr:blipFill>
        <a:blip xmlns:r="http://schemas.openxmlformats.org/officeDocument/2006/relationships" r:embed="rId2"/>
        <a:stretch>
          <a:fillRect/>
        </a:stretch>
      </xdr:blipFill>
      <xdr:spPr>
        <a:xfrm>
          <a:off x="19011116" y="14891089"/>
          <a:ext cx="5010232" cy="1302419"/>
        </a:xfrm>
        <a:prstGeom prst="rect">
          <a:avLst/>
        </a:prstGeom>
      </xdr:spPr>
    </xdr:pic>
    <xdr:clientData/>
  </xdr:twoCellAnchor>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7B65FFE5-0470-4B97-9C86-F148C4E6D4EF}"/>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29309</xdr:rowOff>
    </xdr:from>
    <xdr:ext cx="2123402" cy="937629"/>
    <xdr:sp macro="" textlink="">
      <xdr:nvSpPr>
        <xdr:cNvPr id="3" name="Rectangle 2">
          <a:extLst>
            <a:ext uri="{FF2B5EF4-FFF2-40B4-BE49-F238E27FC236}">
              <a16:creationId xmlns:a16="http://schemas.microsoft.com/office/drawing/2014/main" id="{3B9B6905-5AC9-4DC1-B447-C693B41B4E2B}"/>
            </a:ext>
          </a:extLst>
        </xdr:cNvPr>
        <xdr:cNvSpPr/>
      </xdr:nvSpPr>
      <xdr:spPr>
        <a:xfrm>
          <a:off x="0" y="29309"/>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21980</xdr:colOff>
      <xdr:row>0</xdr:row>
      <xdr:rowOff>0</xdr:rowOff>
    </xdr:from>
    <xdr:ext cx="2123402" cy="937629"/>
    <xdr:sp macro="" textlink="">
      <xdr:nvSpPr>
        <xdr:cNvPr id="2" name="Rectangle 1">
          <a:extLst>
            <a:ext uri="{FF2B5EF4-FFF2-40B4-BE49-F238E27FC236}">
              <a16:creationId xmlns:a16="http://schemas.microsoft.com/office/drawing/2014/main" id="{546F9A56-93E8-4D99-9ABC-7A8567C69CE3}"/>
            </a:ext>
          </a:extLst>
        </xdr:cNvPr>
        <xdr:cNvSpPr/>
      </xdr:nvSpPr>
      <xdr:spPr>
        <a:xfrm>
          <a:off x="2198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2123402" cy="937629"/>
    <xdr:sp macro="" textlink="">
      <xdr:nvSpPr>
        <xdr:cNvPr id="2" name="Rectangle 1">
          <a:extLst>
            <a:ext uri="{FF2B5EF4-FFF2-40B4-BE49-F238E27FC236}">
              <a16:creationId xmlns:a16="http://schemas.microsoft.com/office/drawing/2014/main" id="{9D79D76A-E5C8-4CBF-807A-9327E5F92E55}"/>
            </a:ext>
          </a:extLst>
        </xdr:cNvPr>
        <xdr:cNvSpPr/>
      </xdr:nvSpPr>
      <xdr:spPr>
        <a:xfrm>
          <a:off x="0" y="0"/>
          <a:ext cx="2123402" cy="937629"/>
        </a:xfrm>
        <a:prstGeom prst="rect">
          <a:avLst/>
        </a:prstGeom>
        <a:noFill/>
      </xdr:spPr>
      <xdr:txBody>
        <a:bodyPr wrap="none" lIns="91440" tIns="45720" rIns="91440" bIns="45720">
          <a:spAutoFit/>
        </a:bodyPr>
        <a:lstStyle/>
        <a:p>
          <a:pPr algn="ctr"/>
          <a:r>
            <a:rPr lang="en-US" sz="5400" b="1" cap="none" spc="50">
              <a:ln w="0"/>
              <a:solidFill>
                <a:srgbClr val="D0CECE">
                  <a:alpha val="50000"/>
                </a:srgbClr>
              </a:solidFill>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ortation.gov/mission/office-secretary/office-policy/transportation-policy/benefit-cost-analysis-spreadsheet-template" TargetMode="External"/><Relationship Id="rId1" Type="http://schemas.openxmlformats.org/officeDocument/2006/relationships/hyperlink" Target="https://www.transportation.gov/mission/office-secretary/office-policy/transportation-policy/benefit-cost-analysis-guidanc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hyperlink" Target="https://truckingresearch.org/wp-content/uploads/2022/08/ATRI-Operational-Cost-of-Trucking-2022.pdf" TargetMode="External"/><Relationship Id="rId1" Type="http://schemas.openxmlformats.org/officeDocument/2006/relationships/hyperlink" Target="https://dot.ca.gov/programs/transportation-planning/division-of-transportation-planning/data-analytics-services/transportation-economic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ransportation.gov/mission/office-secretary/office-policy/transportation-policy/benefit-cost-analysis-guidance" TargetMode="External"/><Relationship Id="rId1" Type="http://schemas.openxmlformats.org/officeDocument/2006/relationships/hyperlink" Target="https://ops.fhwa.dot.gov/plan4ops/topsbctool/index.ht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hyperlink" Target="https://ops.fhwa.dot.gov/plan4ops/topsbctool/index.htm" TargetMode="External"/><Relationship Id="rId3" Type="http://schemas.openxmlformats.org/officeDocument/2006/relationships/hyperlink" Target="https://www.itskrs.its.dot.gov/its/benecost.nsf/ID/c69b25afd84ebf018525837c005f476b" TargetMode="External"/><Relationship Id="rId7" Type="http://schemas.openxmlformats.org/officeDocument/2006/relationships/hyperlink" Target="https://truckingresearch.org/wp-content/uploads/2022/08/ATRI-Operational-Cost-of-Trucking-2022.pdf" TargetMode="External"/><Relationship Id="rId2" Type="http://schemas.openxmlformats.org/officeDocument/2006/relationships/hyperlink" Target="https://www.cbo.gov/sites/default/files/114th-congress-2015-2016/workingpaper/50049-Freight_Transport_Working_Paper-2.pdf" TargetMode="External"/><Relationship Id="rId1" Type="http://schemas.openxmlformats.org/officeDocument/2006/relationships/hyperlink" Target="https://www.transportation.gov/sites/dot.gov/files/2023-12/Benefit%20Cost%20Analysis%20Guidance%202024%20Update.pdf" TargetMode="External"/><Relationship Id="rId6" Type="http://schemas.openxmlformats.org/officeDocument/2006/relationships/hyperlink" Target="https://truckingresearch.org/wp-content/uploads/2016/12/ATRI-Truck-Parking-Case-Study-Insights-12-2016.pdf" TargetMode="External"/><Relationship Id="rId5" Type="http://schemas.openxmlformats.org/officeDocument/2006/relationships/hyperlink" Target="https://rosap.ntl.bts.gov/view/dot/10074" TargetMode="External"/><Relationship Id="rId10" Type="http://schemas.openxmlformats.org/officeDocument/2006/relationships/drawing" Target="../drawings/drawing6.xml"/><Relationship Id="rId4" Type="http://schemas.openxmlformats.org/officeDocument/2006/relationships/hyperlink" Target="https://www.itskrs.its.dot.gov/its/benecost.nsf/ID/3eef659b36d4d7bc85258239007328c4?OpenDocument&amp;Query=Home" TargetMode="External"/><Relationship Id="rId9"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7F702-1078-4514-A5B8-B3FD39322F7F}">
  <sheetPr>
    <tabColor theme="9"/>
  </sheetPr>
  <dimension ref="A1:A38"/>
  <sheetViews>
    <sheetView tabSelected="1" zoomScaleNormal="100" workbookViewId="0"/>
  </sheetViews>
  <sheetFormatPr defaultColWidth="9.1796875" defaultRowHeight="14.5" x14ac:dyDescent="0.35"/>
  <cols>
    <col min="1" max="1" width="120.453125" style="371" customWidth="1"/>
    <col min="2" max="2" width="10.26953125" style="371" bestFit="1" customWidth="1"/>
    <col min="3" max="16384" width="9.1796875" style="371"/>
  </cols>
  <sheetData>
    <row r="1" spans="1:1" ht="21.75" customHeight="1" thickBot="1" x14ac:dyDescent="0.4">
      <c r="A1" s="449" t="s">
        <v>0</v>
      </c>
    </row>
    <row r="2" spans="1:1" ht="15" thickTop="1" x14ac:dyDescent="0.35">
      <c r="A2" s="372" t="s">
        <v>1</v>
      </c>
    </row>
    <row r="3" spans="1:1" ht="17" x14ac:dyDescent="0.4">
      <c r="A3" s="377" t="s">
        <v>2</v>
      </c>
    </row>
    <row r="4" spans="1:1" ht="78.75" customHeight="1" x14ac:dyDescent="0.35">
      <c r="A4" s="375" t="s">
        <v>3</v>
      </c>
    </row>
    <row r="5" spans="1:1" ht="14.25" customHeight="1" x14ac:dyDescent="0.35">
      <c r="A5" s="376" t="s">
        <v>4</v>
      </c>
    </row>
    <row r="6" spans="1:1" x14ac:dyDescent="0.35">
      <c r="A6" s="372" t="s">
        <v>1</v>
      </c>
    </row>
    <row r="7" spans="1:1" ht="17" x14ac:dyDescent="0.4">
      <c r="A7" s="377" t="s">
        <v>5</v>
      </c>
    </row>
    <row r="8" spans="1:1" ht="67.5" customHeight="1" x14ac:dyDescent="0.35">
      <c r="A8" s="446" t="s">
        <v>6</v>
      </c>
    </row>
    <row r="9" spans="1:1" x14ac:dyDescent="0.35">
      <c r="A9" s="372" t="s">
        <v>1</v>
      </c>
    </row>
    <row r="10" spans="1:1" ht="17" x14ac:dyDescent="0.4">
      <c r="A10" s="377" t="s">
        <v>7</v>
      </c>
    </row>
    <row r="11" spans="1:1" ht="74.25" customHeight="1" x14ac:dyDescent="0.35">
      <c r="A11" s="446" t="s">
        <v>8</v>
      </c>
    </row>
    <row r="12" spans="1:1" x14ac:dyDescent="0.35">
      <c r="A12" s="372" t="s">
        <v>1</v>
      </c>
    </row>
    <row r="13" spans="1:1" ht="17" x14ac:dyDescent="0.4">
      <c r="A13" s="405" t="s">
        <v>9</v>
      </c>
    </row>
    <row r="14" spans="1:1" x14ac:dyDescent="0.35">
      <c r="A14" s="447" t="s">
        <v>10</v>
      </c>
    </row>
    <row r="15" spans="1:1" ht="29" x14ac:dyDescent="0.35">
      <c r="A15" s="374" t="s">
        <v>11</v>
      </c>
    </row>
    <row r="16" spans="1:1" x14ac:dyDescent="0.35">
      <c r="A16" s="373" t="s">
        <v>12</v>
      </c>
    </row>
    <row r="17" spans="1:1" ht="29" x14ac:dyDescent="0.35">
      <c r="A17" s="374" t="s">
        <v>13</v>
      </c>
    </row>
    <row r="18" spans="1:1" x14ac:dyDescent="0.35">
      <c r="A18" s="374"/>
    </row>
    <row r="19" spans="1:1" x14ac:dyDescent="0.35">
      <c r="A19" s="374" t="s">
        <v>14</v>
      </c>
    </row>
    <row r="20" spans="1:1" x14ac:dyDescent="0.35">
      <c r="A20" s="374" t="s">
        <v>15</v>
      </c>
    </row>
    <row r="21" spans="1:1" x14ac:dyDescent="0.35">
      <c r="A21" s="374" t="s">
        <v>16</v>
      </c>
    </row>
    <row r="22" spans="1:1" x14ac:dyDescent="0.35">
      <c r="A22" s="374" t="s">
        <v>17</v>
      </c>
    </row>
    <row r="23" spans="1:1" x14ac:dyDescent="0.35">
      <c r="A23" s="450" t="s">
        <v>18</v>
      </c>
    </row>
    <row r="24" spans="1:1" x14ac:dyDescent="0.35">
      <c r="A24" s="372" t="s">
        <v>1</v>
      </c>
    </row>
    <row r="25" spans="1:1" ht="17" x14ac:dyDescent="0.4">
      <c r="A25" s="377" t="s">
        <v>19</v>
      </c>
    </row>
    <row r="26" spans="1:1" ht="30.75" customHeight="1" x14ac:dyDescent="0.35">
      <c r="A26" s="461" t="s">
        <v>20</v>
      </c>
    </row>
    <row r="27" spans="1:1" x14ac:dyDescent="0.35">
      <c r="A27" s="372" t="s">
        <v>1</v>
      </c>
    </row>
    <row r="28" spans="1:1" ht="17" x14ac:dyDescent="0.4">
      <c r="A28" s="405" t="s">
        <v>21</v>
      </c>
    </row>
    <row r="29" spans="1:1" x14ac:dyDescent="0.35">
      <c r="A29" s="408" t="s">
        <v>22</v>
      </c>
    </row>
    <row r="30" spans="1:1" x14ac:dyDescent="0.35">
      <c r="A30" s="409" t="s">
        <v>23</v>
      </c>
    </row>
    <row r="31" spans="1:1" x14ac:dyDescent="0.35">
      <c r="A31" s="410" t="s">
        <v>24</v>
      </c>
    </row>
    <row r="32" spans="1:1" x14ac:dyDescent="0.35">
      <c r="A32" s="407" t="s">
        <v>25</v>
      </c>
    </row>
    <row r="33" spans="1:1" x14ac:dyDescent="0.35">
      <c r="A33" s="406" t="s">
        <v>26</v>
      </c>
    </row>
    <row r="34" spans="1:1" x14ac:dyDescent="0.35">
      <c r="A34" s="448" t="s">
        <v>27</v>
      </c>
    </row>
    <row r="35" spans="1:1" x14ac:dyDescent="0.35">
      <c r="A35" s="372" t="s">
        <v>28</v>
      </c>
    </row>
    <row r="36" spans="1:1" ht="17" x14ac:dyDescent="0.4">
      <c r="A36" s="377" t="s">
        <v>29</v>
      </c>
    </row>
    <row r="37" spans="1:1" ht="91.5" customHeight="1" x14ac:dyDescent="0.35">
      <c r="A37" s="375" t="s">
        <v>30</v>
      </c>
    </row>
    <row r="38" spans="1:1" ht="14.25" customHeight="1" x14ac:dyDescent="0.35">
      <c r="A38" s="376" t="s">
        <v>31</v>
      </c>
    </row>
  </sheetData>
  <hyperlinks>
    <hyperlink ref="A5" r:id="rId1" xr:uid="{FF8E3FC7-7249-4170-8D57-860E455B16E2}"/>
    <hyperlink ref="A38" r:id="rId2" xr:uid="{48D57360-FB10-485D-847D-86396930360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F857-981C-46F9-B681-9DE0AF90F381}">
  <sheetPr>
    <tabColor rgb="FF002060"/>
  </sheetPr>
  <dimension ref="A1:AL73"/>
  <sheetViews>
    <sheetView zoomScale="145" zoomScaleNormal="145" workbookViewId="0"/>
  </sheetViews>
  <sheetFormatPr defaultColWidth="9.1796875" defaultRowHeight="12.5" x14ac:dyDescent="0.25"/>
  <cols>
    <col min="1" max="1" width="12.54296875" style="1" bestFit="1" customWidth="1"/>
    <col min="2" max="2" width="15.26953125" style="3" customWidth="1"/>
    <col min="3" max="3" width="15.453125" style="3" bestFit="1" customWidth="1"/>
    <col min="4" max="4" width="14.7265625" style="4" customWidth="1"/>
    <col min="5" max="5" width="18.81640625" style="4" customWidth="1"/>
    <col min="6" max="6" width="14.7265625" style="4" customWidth="1"/>
    <col min="7" max="7" width="14" style="6" customWidth="1"/>
    <col min="8" max="8" width="14.7265625" style="6" customWidth="1"/>
    <col min="9" max="9" width="14.7265625" style="1" customWidth="1"/>
    <col min="10" max="10" width="14.7265625" style="6" customWidth="1"/>
    <col min="11" max="11" width="17.81640625" style="6" customWidth="1"/>
    <col min="12" max="12" width="16.7265625" style="6" customWidth="1"/>
    <col min="13" max="13" width="37.7265625" style="6" customWidth="1"/>
    <col min="14" max="14" width="18.1796875" style="6" customWidth="1"/>
    <col min="15" max="15" width="14.453125" style="1" customWidth="1"/>
    <col min="16" max="16" width="13.26953125" style="3" customWidth="1"/>
    <col min="17" max="17" width="12.54296875" style="6" customWidth="1"/>
    <col min="18" max="18" width="14.7265625" style="6" customWidth="1"/>
    <col min="19" max="19" width="9.1796875" style="1"/>
    <col min="20" max="20" width="7.54296875" style="1" customWidth="1"/>
    <col min="21" max="21" width="18.7265625" style="1" customWidth="1"/>
    <col min="22" max="22" width="19.81640625" style="1" customWidth="1"/>
    <col min="23" max="25" width="14.453125" style="1" customWidth="1"/>
    <col min="26" max="26" width="17" style="1" customWidth="1"/>
    <col min="27" max="27" width="14.54296875" style="1" customWidth="1"/>
    <col min="28" max="28" width="14.453125" style="1" customWidth="1"/>
    <col min="29" max="33" width="14.54296875" style="1" customWidth="1"/>
    <col min="34" max="34" width="16.1796875" style="1" customWidth="1"/>
    <col min="35" max="35" width="2.453125" style="1" customWidth="1"/>
    <col min="36" max="36" width="16.1796875" style="1" customWidth="1"/>
    <col min="37" max="37" width="9.1796875" style="1"/>
    <col min="38" max="38" width="14.54296875" style="1" customWidth="1"/>
    <col min="39" max="16384" width="9.1796875" style="1"/>
  </cols>
  <sheetData>
    <row r="1" spans="1:21" ht="20" x14ac:dyDescent="0.4">
      <c r="B1" s="2" t="s">
        <v>315</v>
      </c>
      <c r="F1" s="5"/>
      <c r="M1" s="1"/>
      <c r="N1" s="2"/>
      <c r="O1" s="3"/>
      <c r="P1" s="4"/>
      <c r="Q1" s="1"/>
      <c r="R1" s="1"/>
    </row>
    <row r="2" spans="1:21" x14ac:dyDescent="0.25">
      <c r="M2" s="1"/>
      <c r="N2" s="3"/>
      <c r="O2" s="3"/>
      <c r="P2" s="4"/>
      <c r="Q2" s="1"/>
      <c r="R2" s="1"/>
    </row>
    <row r="3" spans="1:21" ht="17.5" x14ac:dyDescent="0.25">
      <c r="B3" s="7" t="s">
        <v>316</v>
      </c>
      <c r="C3" s="1"/>
      <c r="D3" s="8"/>
      <c r="E3" s="8"/>
      <c r="F3" s="8"/>
      <c r="G3" s="9"/>
      <c r="H3" s="8"/>
      <c r="I3" s="9"/>
      <c r="J3" s="9"/>
      <c r="K3" s="8"/>
      <c r="L3" s="8"/>
      <c r="M3" s="1"/>
      <c r="N3" s="7"/>
      <c r="P3" s="8"/>
      <c r="Q3" s="1"/>
      <c r="R3" s="1"/>
    </row>
    <row r="4" spans="1:21" customFormat="1" ht="17.5" x14ac:dyDescent="0.35">
      <c r="B4" s="7" t="s">
        <v>43</v>
      </c>
    </row>
    <row r="5" spans="1:21" customFormat="1" ht="17.5" x14ac:dyDescent="0.35">
      <c r="A5" s="1"/>
      <c r="B5" s="15" t="s">
        <v>317</v>
      </c>
      <c r="C5" s="3"/>
      <c r="D5" s="4"/>
      <c r="E5" s="4"/>
      <c r="F5" s="4"/>
      <c r="G5" s="6"/>
      <c r="H5" s="6"/>
      <c r="I5" s="6"/>
      <c r="J5" s="6"/>
      <c r="K5" s="6"/>
      <c r="L5" s="6"/>
      <c r="M5" s="6"/>
      <c r="N5" s="1"/>
      <c r="O5" s="3"/>
      <c r="P5" s="3"/>
      <c r="Q5" s="6"/>
      <c r="R5" s="6"/>
      <c r="S5" s="1"/>
      <c r="T5" s="1"/>
      <c r="U5" s="1"/>
    </row>
    <row r="6" spans="1:21" ht="17.5" x14ac:dyDescent="0.25">
      <c r="B6" s="7"/>
      <c r="C6" s="1"/>
      <c r="D6" s="8"/>
      <c r="E6" s="8"/>
      <c r="F6" s="8"/>
      <c r="G6" s="9"/>
      <c r="H6" s="8"/>
      <c r="I6" s="9"/>
      <c r="J6" s="9"/>
      <c r="K6" s="8"/>
      <c r="L6" s="8"/>
      <c r="M6" s="1"/>
      <c r="N6" s="7"/>
      <c r="P6" s="8"/>
      <c r="Q6" s="1"/>
      <c r="R6" s="1"/>
    </row>
    <row r="7" spans="1:21" ht="17.5" x14ac:dyDescent="0.25">
      <c r="B7" s="10" t="s">
        <v>298</v>
      </c>
      <c r="C7" s="11"/>
      <c r="D7" s="12"/>
      <c r="E7" s="12"/>
      <c r="F7" s="12"/>
      <c r="G7" s="13"/>
      <c r="H7" s="13"/>
      <c r="I7" s="12"/>
      <c r="J7" s="13"/>
      <c r="K7" s="12"/>
      <c r="L7" s="12"/>
      <c r="M7" s="14"/>
      <c r="N7" s="1"/>
      <c r="O7" s="15"/>
      <c r="P7" s="1"/>
      <c r="Q7" s="8"/>
      <c r="R7" s="1"/>
    </row>
    <row r="8" spans="1:21" ht="15" customHeight="1" x14ac:dyDescent="0.25">
      <c r="B8" s="502" t="s">
        <v>318</v>
      </c>
      <c r="C8" s="503"/>
      <c r="D8" s="503"/>
      <c r="E8" s="503"/>
      <c r="F8" s="503"/>
      <c r="G8" s="503"/>
      <c r="H8" s="503"/>
      <c r="I8" s="503"/>
      <c r="J8" s="503"/>
      <c r="K8" s="503"/>
      <c r="L8" s="503"/>
      <c r="M8" s="504"/>
      <c r="N8" s="1"/>
      <c r="O8" s="17"/>
      <c r="P8" s="1"/>
      <c r="Q8" s="8"/>
      <c r="R8" s="1"/>
    </row>
    <row r="9" spans="1:21" x14ac:dyDescent="0.25">
      <c r="B9" s="18"/>
      <c r="C9" s="169"/>
      <c r="D9" s="19"/>
      <c r="E9" s="20"/>
      <c r="F9" s="170"/>
      <c r="G9" s="168"/>
      <c r="H9" s="168"/>
      <c r="I9" s="168"/>
      <c r="J9" s="168"/>
      <c r="K9" s="168"/>
      <c r="L9" s="168"/>
      <c r="M9" s="16"/>
      <c r="N9" s="1"/>
      <c r="O9" s="21"/>
      <c r="P9" s="8"/>
      <c r="Q9" s="8"/>
      <c r="R9" s="1"/>
    </row>
    <row r="10" spans="1:21" x14ac:dyDescent="0.25">
      <c r="B10" s="502" t="s">
        <v>319</v>
      </c>
      <c r="C10" s="503"/>
      <c r="D10" s="503"/>
      <c r="E10" s="503"/>
      <c r="F10" s="503"/>
      <c r="G10" s="503"/>
      <c r="H10" s="503"/>
      <c r="I10" s="503"/>
      <c r="J10" s="503"/>
      <c r="K10" s="503"/>
      <c r="L10" s="503"/>
      <c r="M10" s="504"/>
      <c r="N10" s="1"/>
      <c r="O10" s="22"/>
      <c r="P10" s="1"/>
      <c r="Q10" s="8"/>
      <c r="R10" s="1"/>
    </row>
    <row r="11" spans="1:21" x14ac:dyDescent="0.25">
      <c r="B11" s="18"/>
      <c r="C11" s="169"/>
      <c r="D11" s="19"/>
      <c r="E11" s="20"/>
      <c r="F11" s="170"/>
      <c r="G11" s="168"/>
      <c r="H11" s="168"/>
      <c r="I11" s="168"/>
      <c r="J11" s="168"/>
      <c r="K11" s="168"/>
      <c r="L11" s="168"/>
      <c r="M11" s="16"/>
      <c r="N11" s="1"/>
      <c r="O11" s="21"/>
      <c r="P11" s="8"/>
      <c r="Q11" s="8"/>
      <c r="R11" s="1"/>
    </row>
    <row r="12" spans="1:21" ht="15" customHeight="1" x14ac:dyDescent="0.25">
      <c r="B12" s="505" t="s">
        <v>320</v>
      </c>
      <c r="C12" s="506"/>
      <c r="D12" s="506"/>
      <c r="E12" s="506"/>
      <c r="F12" s="506"/>
      <c r="G12" s="506"/>
      <c r="H12" s="506"/>
      <c r="I12" s="506"/>
      <c r="J12" s="506"/>
      <c r="K12" s="506"/>
      <c r="L12" s="506"/>
      <c r="M12" s="507"/>
      <c r="N12" s="1"/>
      <c r="O12" s="22"/>
      <c r="P12" s="1"/>
      <c r="Q12" s="8"/>
      <c r="R12" s="1"/>
    </row>
    <row r="13" spans="1:21" x14ac:dyDescent="0.25">
      <c r="B13" s="18"/>
      <c r="C13" s="169"/>
      <c r="D13" s="19"/>
      <c r="E13" s="20"/>
      <c r="F13" s="170"/>
      <c r="G13" s="168"/>
      <c r="H13" s="168"/>
      <c r="I13" s="168"/>
      <c r="J13" s="168"/>
      <c r="K13" s="168"/>
      <c r="L13" s="168"/>
      <c r="M13" s="16"/>
      <c r="N13" s="1"/>
      <c r="O13" s="21"/>
      <c r="P13" s="8"/>
      <c r="Q13" s="8"/>
      <c r="R13" s="1"/>
    </row>
    <row r="14" spans="1:21" x14ac:dyDescent="0.25">
      <c r="B14" s="505" t="s">
        <v>321</v>
      </c>
      <c r="C14" s="506"/>
      <c r="D14" s="506"/>
      <c r="E14" s="506"/>
      <c r="F14" s="506"/>
      <c r="G14" s="506"/>
      <c r="H14" s="506"/>
      <c r="I14" s="506"/>
      <c r="J14" s="506"/>
      <c r="K14" s="506"/>
      <c r="L14" s="506"/>
      <c r="M14" s="507"/>
      <c r="N14" s="1"/>
      <c r="O14" s="22"/>
      <c r="P14" s="1"/>
      <c r="Q14" s="8"/>
      <c r="R14" s="1"/>
    </row>
    <row r="15" spans="1:21" x14ac:dyDescent="0.25">
      <c r="B15" s="18"/>
      <c r="C15" s="169"/>
      <c r="D15" s="19"/>
      <c r="E15" s="20"/>
      <c r="F15" s="170"/>
      <c r="G15" s="168"/>
      <c r="H15" s="168"/>
      <c r="I15" s="168"/>
      <c r="J15" s="168"/>
      <c r="K15" s="168"/>
      <c r="L15" s="168"/>
      <c r="M15" s="16"/>
      <c r="N15" s="1"/>
      <c r="O15" s="21"/>
      <c r="P15" s="8"/>
      <c r="Q15" s="8"/>
      <c r="R15" s="1"/>
    </row>
    <row r="16" spans="1:21" x14ac:dyDescent="0.25">
      <c r="B16" s="505" t="s">
        <v>322</v>
      </c>
      <c r="C16" s="506"/>
      <c r="D16" s="506"/>
      <c r="E16" s="506"/>
      <c r="F16" s="506"/>
      <c r="G16" s="506"/>
      <c r="H16" s="506"/>
      <c r="I16" s="506"/>
      <c r="J16" s="506"/>
      <c r="K16" s="506"/>
      <c r="L16" s="506"/>
      <c r="M16" s="507"/>
      <c r="N16" s="1"/>
      <c r="O16" s="22"/>
      <c r="P16" s="1"/>
      <c r="Q16" s="8"/>
      <c r="R16" s="1"/>
    </row>
    <row r="17" spans="1:38" x14ac:dyDescent="0.25">
      <c r="B17" s="18"/>
      <c r="C17" s="169"/>
      <c r="D17" s="19"/>
      <c r="E17" s="20"/>
      <c r="F17" s="170"/>
      <c r="G17" s="168"/>
      <c r="H17" s="168"/>
      <c r="I17" s="168"/>
      <c r="J17" s="168"/>
      <c r="K17" s="168"/>
      <c r="L17" s="168"/>
      <c r="M17" s="16"/>
      <c r="N17" s="1"/>
      <c r="O17" s="21"/>
      <c r="P17" s="8"/>
      <c r="Q17" s="8"/>
      <c r="R17" s="1"/>
    </row>
    <row r="18" spans="1:38" x14ac:dyDescent="0.25">
      <c r="B18" s="505" t="s">
        <v>323</v>
      </c>
      <c r="C18" s="506"/>
      <c r="D18" s="506"/>
      <c r="E18" s="506"/>
      <c r="F18" s="506"/>
      <c r="G18" s="506"/>
      <c r="H18" s="506"/>
      <c r="I18" s="506"/>
      <c r="J18" s="506"/>
      <c r="K18" s="506"/>
      <c r="L18" s="506"/>
      <c r="M18" s="507"/>
      <c r="N18" s="1"/>
      <c r="O18" s="22"/>
      <c r="P18" s="1"/>
      <c r="Q18" s="8"/>
      <c r="R18" s="1"/>
    </row>
    <row r="19" spans="1:38" x14ac:dyDescent="0.25">
      <c r="B19" s="171"/>
      <c r="C19" s="85"/>
      <c r="D19" s="172"/>
      <c r="E19" s="172"/>
      <c r="F19" s="173"/>
      <c r="G19" s="174"/>
      <c r="H19" s="174"/>
      <c r="I19" s="174"/>
      <c r="J19" s="174"/>
      <c r="K19" s="174"/>
      <c r="L19" s="174"/>
      <c r="M19" s="175"/>
      <c r="N19" s="1"/>
      <c r="O19" s="8"/>
      <c r="P19" s="8"/>
      <c r="Q19" s="8"/>
      <c r="R19" s="1"/>
    </row>
    <row r="20" spans="1:38" x14ac:dyDescent="0.25">
      <c r="A20" s="24"/>
      <c r="B20" s="8"/>
      <c r="C20" s="24"/>
      <c r="D20" s="25"/>
      <c r="E20" s="25"/>
      <c r="F20" s="25"/>
      <c r="G20" s="24"/>
      <c r="H20" s="1"/>
      <c r="I20" s="8"/>
      <c r="J20" s="24"/>
      <c r="K20" s="1"/>
      <c r="L20" s="1"/>
      <c r="M20" s="1"/>
      <c r="N20" s="8"/>
      <c r="O20" s="24"/>
      <c r="P20" s="25"/>
      <c r="Q20" s="1"/>
      <c r="R20" s="1"/>
    </row>
    <row r="21" spans="1:38" x14ac:dyDescent="0.25">
      <c r="A21" s="24"/>
      <c r="B21" s="8"/>
      <c r="C21" s="24"/>
      <c r="D21" s="25"/>
      <c r="E21" s="25"/>
      <c r="F21" s="25"/>
      <c r="G21" s="24"/>
      <c r="H21" s="1"/>
      <c r="I21" s="8"/>
      <c r="J21" s="24"/>
      <c r="K21" s="1"/>
      <c r="L21" s="1"/>
      <c r="M21" s="1"/>
      <c r="N21" s="8"/>
      <c r="O21" s="24"/>
      <c r="P21" s="25"/>
      <c r="Q21" s="1"/>
      <c r="R21" s="1"/>
    </row>
    <row r="22" spans="1:38" ht="17.5" x14ac:dyDescent="0.25">
      <c r="B22" s="161" t="s">
        <v>324</v>
      </c>
      <c r="C22" s="4"/>
      <c r="F22" s="6"/>
      <c r="H22" s="1"/>
    </row>
    <row r="23" spans="1:38" x14ac:dyDescent="0.25">
      <c r="B23" s="154" t="s">
        <v>325</v>
      </c>
      <c r="C23" s="159" t="s">
        <v>326</v>
      </c>
      <c r="D23" s="159" t="s">
        <v>327</v>
      </c>
      <c r="E23" s="159" t="s">
        <v>328</v>
      </c>
      <c r="F23" s="191" t="s">
        <v>71</v>
      </c>
      <c r="I23" s="6"/>
    </row>
    <row r="24" spans="1:38" x14ac:dyDescent="0.25">
      <c r="B24" s="154" t="s">
        <v>329</v>
      </c>
      <c r="C24" s="334">
        <f>'App_3_Annual Crash Reduction_B'!B8</f>
        <v>0</v>
      </c>
      <c r="D24" s="334">
        <f>'App_3_Annual Crash Reduction_B'!B9</f>
        <v>0</v>
      </c>
      <c r="E24" s="334">
        <f>'App_3_Annual Crash Reduction_B'!B10</f>
        <v>0</v>
      </c>
      <c r="F24" s="334">
        <f>SUM(C24:E24)</f>
        <v>0</v>
      </c>
      <c r="I24" s="6"/>
    </row>
    <row r="25" spans="1:38" x14ac:dyDescent="0.25">
      <c r="B25" s="154" t="s">
        <v>330</v>
      </c>
      <c r="C25" s="334">
        <f>'App_3_Annual Crash Reduction_B'!D8</f>
        <v>0</v>
      </c>
      <c r="D25" s="334">
        <f>'App_3_Annual Crash Reduction_B'!D9</f>
        <v>0</v>
      </c>
      <c r="E25" s="334">
        <f>'App_3_Annual Crash Reduction_B'!D10</f>
        <v>0</v>
      </c>
      <c r="F25" s="334">
        <f t="shared" ref="F25:F27" si="0">SUM(C25:E25)</f>
        <v>0</v>
      </c>
      <c r="I25" s="6"/>
    </row>
    <row r="26" spans="1:38" x14ac:dyDescent="0.25">
      <c r="B26" s="154" t="s">
        <v>331</v>
      </c>
      <c r="C26" s="334">
        <f>'App_3_Annual Crash Reduction_B'!C8</f>
        <v>0</v>
      </c>
      <c r="D26" s="334">
        <f>'App_3_Annual Crash Reduction_B'!C9</f>
        <v>1.0000000000000002E-2</v>
      </c>
      <c r="E26" s="334">
        <f>'App_3_Annual Crash Reduction_B'!C10</f>
        <v>2.5000000000000005E-2</v>
      </c>
      <c r="F26" s="334">
        <f t="shared" si="0"/>
        <v>3.5000000000000003E-2</v>
      </c>
      <c r="I26" s="6"/>
    </row>
    <row r="27" spans="1:38" x14ac:dyDescent="0.25">
      <c r="B27" s="154" t="s">
        <v>332</v>
      </c>
      <c r="C27" s="334">
        <f>'App_3_Annual Crash Reduction_B'!E8</f>
        <v>0</v>
      </c>
      <c r="D27" s="334">
        <f>'App_3_Annual Crash Reduction_B'!E9</f>
        <v>0</v>
      </c>
      <c r="E27" s="334">
        <f>'App_3_Annual Crash Reduction_B'!E10</f>
        <v>0</v>
      </c>
      <c r="F27" s="334">
        <f t="shared" si="0"/>
        <v>0</v>
      </c>
      <c r="I27" s="6"/>
    </row>
    <row r="28" spans="1:38" x14ac:dyDescent="0.25">
      <c r="A28" s="24"/>
      <c r="B28" s="8"/>
      <c r="C28" s="24"/>
      <c r="D28" s="25"/>
      <c r="E28" s="25"/>
      <c r="F28" s="25"/>
      <c r="G28" s="239"/>
      <c r="I28" s="6"/>
      <c r="L28" s="1"/>
      <c r="M28" s="1"/>
      <c r="N28" s="1"/>
      <c r="P28" s="8"/>
      <c r="Q28" s="1"/>
      <c r="R28" s="1"/>
      <c r="T28" s="8"/>
      <c r="U28" s="24"/>
      <c r="V28" s="25"/>
      <c r="W28" s="25"/>
      <c r="X28" s="25"/>
      <c r="Y28" s="25"/>
      <c r="Z28" s="25"/>
      <c r="AA28" s="25"/>
      <c r="AB28" s="25"/>
      <c r="AC28" s="8"/>
      <c r="AD28" s="24"/>
      <c r="AE28" s="24"/>
      <c r="AF28" s="24"/>
      <c r="AG28" s="24"/>
      <c r="AH28" s="24"/>
      <c r="AI28" s="24"/>
      <c r="AL28" s="24"/>
    </row>
    <row r="29" spans="1:38" ht="17.5" x14ac:dyDescent="0.25">
      <c r="B29" s="161" t="s">
        <v>333</v>
      </c>
      <c r="C29" s="4"/>
      <c r="F29" s="6"/>
      <c r="G29" s="240"/>
      <c r="H29" s="1"/>
    </row>
    <row r="30" spans="1:38" x14ac:dyDescent="0.25">
      <c r="B30" s="154" t="s">
        <v>325</v>
      </c>
      <c r="C30" s="159" t="s">
        <v>326</v>
      </c>
      <c r="D30" s="159" t="s">
        <v>327</v>
      </c>
      <c r="E30" s="159" t="s">
        <v>328</v>
      </c>
      <c r="F30" s="238" t="s">
        <v>71</v>
      </c>
      <c r="I30" s="6"/>
    </row>
    <row r="31" spans="1:38" x14ac:dyDescent="0.25">
      <c r="B31" s="154" t="s">
        <v>329</v>
      </c>
      <c r="C31" s="334">
        <f>C24*CrashDelayUrbanInterFatal</f>
        <v>0</v>
      </c>
      <c r="D31" s="334">
        <f>D24*CrashDelayUrbanInterInjury</f>
        <v>0</v>
      </c>
      <c r="E31" s="334">
        <f>E24*CrashDelayUrbanInterPDO</f>
        <v>0</v>
      </c>
      <c r="F31" s="334">
        <f>SUM(C31:E31)</f>
        <v>0</v>
      </c>
      <c r="I31" s="6"/>
    </row>
    <row r="32" spans="1:38" x14ac:dyDescent="0.25">
      <c r="B32" s="154" t="s">
        <v>330</v>
      </c>
      <c r="C32" s="334">
        <f>C25*CrashDelayUrbanArterFatal</f>
        <v>0</v>
      </c>
      <c r="D32" s="334">
        <f>D25*CrashDelayUrbanArterInjury</f>
        <v>0</v>
      </c>
      <c r="E32" s="334">
        <f>E25*CrashDelayUrbanArterPDO</f>
        <v>0</v>
      </c>
      <c r="F32" s="334">
        <f t="shared" ref="F32:F34" si="1">SUM(C32:E32)</f>
        <v>0</v>
      </c>
      <c r="I32" s="6"/>
    </row>
    <row r="33" spans="1:38" x14ac:dyDescent="0.25">
      <c r="B33" s="154" t="s">
        <v>331</v>
      </c>
      <c r="C33" s="334">
        <f>C26*CrashDelayRuralInterFatal</f>
        <v>0</v>
      </c>
      <c r="D33" s="334">
        <f>D26*CrashDelayRuralInterInjury</f>
        <v>1.5900000000000003</v>
      </c>
      <c r="E33" s="334">
        <f>E26*CrashDelayRuralInterPDO</f>
        <v>3.3500000000000005</v>
      </c>
      <c r="F33" s="334">
        <f t="shared" si="1"/>
        <v>4.9400000000000013</v>
      </c>
      <c r="I33" s="6"/>
    </row>
    <row r="34" spans="1:38" x14ac:dyDescent="0.25">
      <c r="B34" s="154" t="s">
        <v>332</v>
      </c>
      <c r="C34" s="334">
        <f>C27*CrashDelayRuralArterFatal</f>
        <v>0</v>
      </c>
      <c r="D34" s="334">
        <f>D27*CrashDelayRuralArterInjury</f>
        <v>0</v>
      </c>
      <c r="E34" s="334">
        <f>E27*CrashDelayRuralArterPDO</f>
        <v>0</v>
      </c>
      <c r="F34" s="334">
        <f t="shared" si="1"/>
        <v>0</v>
      </c>
      <c r="I34" s="6"/>
    </row>
    <row r="35" spans="1:38" x14ac:dyDescent="0.25">
      <c r="A35" s="24"/>
      <c r="B35" s="8"/>
      <c r="C35" s="24"/>
      <c r="D35" s="25"/>
      <c r="E35" s="25"/>
      <c r="F35" s="25"/>
      <c r="G35" s="24"/>
      <c r="H35" s="24"/>
      <c r="I35" s="8"/>
      <c r="J35" s="24"/>
      <c r="K35" s="24"/>
      <c r="L35" s="1"/>
      <c r="M35" s="1"/>
      <c r="N35" s="1"/>
      <c r="P35" s="8"/>
      <c r="Q35" s="1"/>
      <c r="R35" s="1"/>
      <c r="T35" s="8"/>
      <c r="U35" s="24"/>
      <c r="V35" s="25"/>
      <c r="W35" s="25"/>
      <c r="X35" s="25"/>
      <c r="Y35" s="25"/>
      <c r="Z35" s="25"/>
      <c r="AA35" s="25"/>
      <c r="AB35" s="25"/>
      <c r="AC35" s="8"/>
      <c r="AD35" s="24"/>
      <c r="AE35" s="24"/>
      <c r="AF35" s="24"/>
      <c r="AG35" s="24"/>
      <c r="AH35" s="24"/>
      <c r="AI35" s="24"/>
      <c r="AL35" s="24"/>
    </row>
    <row r="36" spans="1:38" ht="17.5" x14ac:dyDescent="0.25">
      <c r="B36" s="161" t="s">
        <v>334</v>
      </c>
      <c r="C36" s="4"/>
      <c r="F36" s="6"/>
      <c r="H36" s="1"/>
    </row>
    <row r="37" spans="1:38" x14ac:dyDescent="0.25">
      <c r="B37" s="154" t="s">
        <v>325</v>
      </c>
      <c r="C37" s="159" t="s">
        <v>326</v>
      </c>
      <c r="D37" s="159" t="s">
        <v>327</v>
      </c>
      <c r="E37" s="159" t="s">
        <v>328</v>
      </c>
      <c r="F37" s="191" t="s">
        <v>71</v>
      </c>
      <c r="I37" s="6"/>
    </row>
    <row r="38" spans="1:38" x14ac:dyDescent="0.25">
      <c r="B38" s="154" t="s">
        <v>329</v>
      </c>
      <c r="C38" s="334">
        <f t="shared" ref="C38:E41" si="2">C31*VOR</f>
        <v>0</v>
      </c>
      <c r="D38" s="334">
        <f t="shared" si="2"/>
        <v>0</v>
      </c>
      <c r="E38" s="334">
        <f t="shared" si="2"/>
        <v>0</v>
      </c>
      <c r="F38" s="334">
        <f>SUM(C38:E38)</f>
        <v>0</v>
      </c>
      <c r="I38" s="6"/>
    </row>
    <row r="39" spans="1:38" x14ac:dyDescent="0.25">
      <c r="B39" s="154" t="s">
        <v>330</v>
      </c>
      <c r="C39" s="334">
        <f t="shared" si="2"/>
        <v>0</v>
      </c>
      <c r="D39" s="334">
        <f t="shared" si="2"/>
        <v>0</v>
      </c>
      <c r="E39" s="334">
        <f t="shared" si="2"/>
        <v>0</v>
      </c>
      <c r="F39" s="334">
        <f t="shared" ref="F39:F41" si="3">SUM(C39:E39)</f>
        <v>0</v>
      </c>
      <c r="I39" s="6"/>
    </row>
    <row r="40" spans="1:38" x14ac:dyDescent="0.25">
      <c r="B40" s="154" t="s">
        <v>331</v>
      </c>
      <c r="C40" s="334">
        <f t="shared" si="2"/>
        <v>0</v>
      </c>
      <c r="D40" s="334">
        <f t="shared" si="2"/>
        <v>2.6553000000000004</v>
      </c>
      <c r="E40" s="334">
        <f t="shared" si="2"/>
        <v>5.5945000000000009</v>
      </c>
      <c r="F40" s="334">
        <f t="shared" si="3"/>
        <v>8.2498000000000005</v>
      </c>
      <c r="I40" s="6"/>
    </row>
    <row r="41" spans="1:38" x14ac:dyDescent="0.25">
      <c r="B41" s="154" t="s">
        <v>332</v>
      </c>
      <c r="C41" s="334">
        <f t="shared" si="2"/>
        <v>0</v>
      </c>
      <c r="D41" s="334">
        <f t="shared" si="2"/>
        <v>0</v>
      </c>
      <c r="E41" s="334">
        <f t="shared" si="2"/>
        <v>0</v>
      </c>
      <c r="F41" s="334">
        <f t="shared" si="3"/>
        <v>0</v>
      </c>
      <c r="I41" s="6"/>
    </row>
    <row r="42" spans="1:38" ht="13" x14ac:dyDescent="0.3">
      <c r="B42" s="178"/>
      <c r="C42" s="179"/>
      <c r="D42" s="179"/>
      <c r="E42" s="179"/>
      <c r="F42" s="179"/>
      <c r="G42" s="179"/>
      <c r="H42" s="179"/>
      <c r="I42" s="179"/>
    </row>
    <row r="43" spans="1:38" ht="17.5" x14ac:dyDescent="0.25">
      <c r="B43" s="161" t="s">
        <v>335</v>
      </c>
      <c r="C43" s="4"/>
      <c r="F43" s="6"/>
      <c r="H43" s="1"/>
    </row>
    <row r="44" spans="1:38" x14ac:dyDescent="0.25">
      <c r="B44" s="154" t="s">
        <v>325</v>
      </c>
      <c r="C44" s="159" t="s">
        <v>326</v>
      </c>
      <c r="D44" s="159" t="s">
        <v>327</v>
      </c>
      <c r="E44" s="159" t="s">
        <v>328</v>
      </c>
      <c r="F44" s="191" t="s">
        <v>71</v>
      </c>
      <c r="I44" s="6"/>
    </row>
    <row r="45" spans="1:38" x14ac:dyDescent="0.25">
      <c r="B45" s="154" t="s">
        <v>329</v>
      </c>
      <c r="C45" s="155">
        <f t="shared" ref="C45:E48" si="4">C38*TimeValueGeneral</f>
        <v>0</v>
      </c>
      <c r="D45" s="155">
        <f t="shared" si="4"/>
        <v>0</v>
      </c>
      <c r="E45" s="155">
        <f t="shared" si="4"/>
        <v>0</v>
      </c>
      <c r="F45" s="238">
        <f>SUM(C45:E45)</f>
        <v>0</v>
      </c>
      <c r="I45" s="6"/>
    </row>
    <row r="46" spans="1:38" x14ac:dyDescent="0.25">
      <c r="B46" s="154" t="s">
        <v>330</v>
      </c>
      <c r="C46" s="155">
        <f t="shared" si="4"/>
        <v>0</v>
      </c>
      <c r="D46" s="155">
        <f t="shared" si="4"/>
        <v>0</v>
      </c>
      <c r="E46" s="155">
        <f t="shared" si="4"/>
        <v>0</v>
      </c>
      <c r="F46" s="238">
        <f t="shared" ref="F46:F48" si="5">SUM(C46:E46)</f>
        <v>0</v>
      </c>
      <c r="I46" s="6"/>
    </row>
    <row r="47" spans="1:38" x14ac:dyDescent="0.25">
      <c r="B47" s="154" t="s">
        <v>331</v>
      </c>
      <c r="C47" s="155">
        <f t="shared" si="4"/>
        <v>0</v>
      </c>
      <c r="D47" s="155">
        <f t="shared" si="4"/>
        <v>52.043880000000016</v>
      </c>
      <c r="E47" s="155">
        <f t="shared" si="4"/>
        <v>109.65220000000002</v>
      </c>
      <c r="F47" s="238">
        <f t="shared" si="5"/>
        <v>161.69608000000005</v>
      </c>
      <c r="I47" s="6"/>
    </row>
    <row r="48" spans="1:38" x14ac:dyDescent="0.25">
      <c r="B48" s="154" t="s">
        <v>332</v>
      </c>
      <c r="C48" s="155">
        <f t="shared" si="4"/>
        <v>0</v>
      </c>
      <c r="D48" s="155">
        <f t="shared" si="4"/>
        <v>0</v>
      </c>
      <c r="E48" s="155">
        <f t="shared" si="4"/>
        <v>0</v>
      </c>
      <c r="F48" s="238">
        <f t="shared" si="5"/>
        <v>0</v>
      </c>
      <c r="I48" s="6"/>
    </row>
    <row r="49" spans="1:26" ht="13" x14ac:dyDescent="0.3">
      <c r="B49" s="156" t="s">
        <v>71</v>
      </c>
      <c r="C49" s="157">
        <f>SUM(C45:C48)</f>
        <v>0</v>
      </c>
      <c r="D49" s="157">
        <f t="shared" ref="D49:E49" si="6">SUM(D45:D48)</f>
        <v>52.043880000000016</v>
      </c>
      <c r="E49" s="157">
        <f t="shared" si="6"/>
        <v>109.65220000000002</v>
      </c>
      <c r="F49" s="241">
        <f>SUM(F45:F48)</f>
        <v>161.69608000000005</v>
      </c>
      <c r="I49" s="6"/>
    </row>
    <row r="50" spans="1:26" customFormat="1" ht="13.5" customHeight="1" x14ac:dyDescent="0.35">
      <c r="A50" s="1"/>
      <c r="B50" s="245"/>
      <c r="C50" s="246"/>
      <c r="D50" s="8"/>
      <c r="E50" s="8"/>
      <c r="F50" s="8"/>
      <c r="G50" s="28"/>
      <c r="H50" s="6"/>
      <c r="I50" s="6"/>
      <c r="J50" s="6"/>
      <c r="K50" s="6"/>
      <c r="L50" s="6"/>
      <c r="M50" s="6"/>
      <c r="N50" s="6"/>
      <c r="O50" s="1"/>
      <c r="P50" s="1"/>
      <c r="Q50" s="1"/>
      <c r="R50" s="1"/>
      <c r="S50" s="1"/>
      <c r="T50" s="1"/>
      <c r="U50" s="1"/>
      <c r="V50" s="1"/>
    </row>
    <row r="51" spans="1:26" customFormat="1" ht="13.5" customHeight="1" x14ac:dyDescent="0.35">
      <c r="A51" s="1"/>
      <c r="B51" s="245"/>
      <c r="C51" s="246"/>
      <c r="D51" s="8"/>
      <c r="E51" s="8"/>
      <c r="F51" s="8"/>
      <c r="G51" s="28"/>
      <c r="H51" s="6"/>
      <c r="I51" s="6"/>
      <c r="J51" s="6"/>
      <c r="K51" s="6"/>
      <c r="L51" s="6"/>
      <c r="M51" s="6"/>
      <c r="N51" s="6"/>
      <c r="O51" s="1"/>
      <c r="P51" s="1"/>
      <c r="Q51" s="1"/>
      <c r="R51" s="1"/>
      <c r="S51" s="1"/>
      <c r="T51" s="1"/>
      <c r="U51" s="1"/>
      <c r="V51" s="1"/>
    </row>
    <row r="52" spans="1:26" ht="20" x14ac:dyDescent="0.4">
      <c r="A52" s="24"/>
      <c r="B52" s="151" t="s">
        <v>336</v>
      </c>
      <c r="D52" s="150"/>
      <c r="E52" s="28"/>
      <c r="F52" s="28"/>
      <c r="G52" s="29"/>
      <c r="H52" s="29" t="s">
        <v>304</v>
      </c>
      <c r="I52" s="28"/>
      <c r="J52" s="29"/>
      <c r="K52" s="29"/>
      <c r="L52" s="30"/>
      <c r="M52" s="30"/>
      <c r="N52" s="30"/>
      <c r="P52" s="1"/>
      <c r="Q52" s="28"/>
      <c r="R52" s="31"/>
      <c r="S52" s="29"/>
      <c r="T52" s="29"/>
      <c r="U52" s="29"/>
      <c r="V52" s="29"/>
      <c r="W52" s="29"/>
      <c r="X52" s="32"/>
      <c r="Y52" s="32"/>
      <c r="Z52" s="29"/>
    </row>
    <row r="53" spans="1:26" ht="20" x14ac:dyDescent="0.4">
      <c r="A53" s="24"/>
      <c r="B53" s="151"/>
      <c r="D53" s="150"/>
      <c r="E53" s="28"/>
      <c r="F53" s="28"/>
      <c r="G53" s="29"/>
      <c r="H53" s="29"/>
      <c r="I53" s="28"/>
      <c r="J53" s="29"/>
      <c r="K53" s="29"/>
      <c r="L53" s="30"/>
      <c r="M53" s="30"/>
      <c r="N53" s="30"/>
      <c r="P53" s="1"/>
      <c r="Q53" s="28"/>
      <c r="R53" s="31"/>
      <c r="S53" s="29"/>
      <c r="T53" s="29"/>
      <c r="U53" s="29"/>
      <c r="V53" s="29"/>
      <c r="W53" s="29"/>
      <c r="X53" s="32"/>
      <c r="Y53" s="32"/>
      <c r="Z53" s="29"/>
    </row>
    <row r="54" spans="1:26" s="181" customFormat="1" ht="59.5" customHeight="1" x14ac:dyDescent="0.3">
      <c r="A54" s="497" t="s">
        <v>305</v>
      </c>
      <c r="B54" s="36"/>
      <c r="C54" s="180" t="s">
        <v>337</v>
      </c>
      <c r="D54" s="180" t="s">
        <v>338</v>
      </c>
      <c r="E54" s="180" t="s">
        <v>339</v>
      </c>
      <c r="F54" s="42" t="s">
        <v>312</v>
      </c>
      <c r="G54" s="40" t="s">
        <v>313</v>
      </c>
      <c r="H54" s="6"/>
      <c r="I54" s="6"/>
      <c r="J54" s="6"/>
      <c r="K54" s="6"/>
      <c r="L54" s="6"/>
      <c r="M54" s="6"/>
      <c r="N54" s="6"/>
      <c r="O54" s="1"/>
      <c r="P54" s="1"/>
      <c r="Q54" s="1"/>
      <c r="R54" s="1"/>
      <c r="S54" s="1"/>
      <c r="T54" s="1"/>
      <c r="U54" s="1"/>
    </row>
    <row r="55" spans="1:26" s="181" customFormat="1" ht="13" x14ac:dyDescent="0.3">
      <c r="A55" s="497"/>
      <c r="B55" s="41" t="s">
        <v>56</v>
      </c>
      <c r="C55" s="182" t="str">
        <f>_xlfn.CONCAT(CurrentDollarYear, "$")</f>
        <v>2022$</v>
      </c>
      <c r="D55" s="182" t="str">
        <f>_xlfn.CONCAT(CurrentDollarYear, "$")</f>
        <v>2022$</v>
      </c>
      <c r="E55" s="182" t="str">
        <f>_xlfn.CONCAT(CurrentDollarYear, "$")</f>
        <v>2022$</v>
      </c>
      <c r="F55" s="44" t="str">
        <f>_xlfn.CONCAT(CurrentDollarYear, "$")</f>
        <v>2022$</v>
      </c>
      <c r="G55" s="45" t="str">
        <f>_xlfn.CONCAT(CurrentDollarYear, "$")</f>
        <v>2022$</v>
      </c>
      <c r="H55" s="6"/>
      <c r="I55" s="6"/>
      <c r="J55" s="6"/>
      <c r="K55" s="6"/>
      <c r="L55" s="6"/>
      <c r="M55" s="6"/>
      <c r="N55" s="6"/>
      <c r="O55" s="1"/>
      <c r="P55" s="1"/>
      <c r="Q55" s="1"/>
      <c r="R55" s="1"/>
      <c r="S55" s="1"/>
      <c r="T55" s="1"/>
      <c r="U55" s="1"/>
    </row>
    <row r="56" spans="1:26" customFormat="1" ht="14.5" x14ac:dyDescent="0.35">
      <c r="A56" s="1">
        <f>'F.Params&amp;Assumptions(UserInput)'!F16</f>
        <v>2028</v>
      </c>
      <c r="B56" s="242">
        <v>1</v>
      </c>
      <c r="C56" s="243">
        <f t="shared" ref="C56:C65" si="7">$C$49</f>
        <v>0</v>
      </c>
      <c r="D56" s="243">
        <f t="shared" ref="D56:D65" si="8">$D$49</f>
        <v>52.043880000000016</v>
      </c>
      <c r="E56" s="243">
        <f t="shared" ref="E56:E65" si="9">$E$49</f>
        <v>109.65220000000002</v>
      </c>
      <c r="F56" s="244">
        <f>SUM(C56:E56)</f>
        <v>161.69608000000005</v>
      </c>
      <c r="G56" s="263">
        <f t="shared" ref="G56:G65" si="10">$F56/(1+RealDiscountRate)^($A56-CurrentDollarYear)</f>
        <v>134.63175271426263</v>
      </c>
      <c r="H56" s="6"/>
      <c r="I56" s="6"/>
      <c r="J56" s="6"/>
      <c r="K56" s="6"/>
      <c r="L56" s="6"/>
      <c r="M56" s="6"/>
      <c r="N56" s="6"/>
      <c r="O56" s="1"/>
      <c r="P56" s="1"/>
      <c r="Q56" s="1"/>
      <c r="R56" s="1"/>
      <c r="S56" s="1"/>
      <c r="T56" s="1"/>
      <c r="U56" s="1"/>
    </row>
    <row r="57" spans="1:26" customFormat="1" ht="14.5" x14ac:dyDescent="0.35">
      <c r="A57" s="1">
        <f>A56+1</f>
        <v>2029</v>
      </c>
      <c r="B57" s="55">
        <f>B56+1</f>
        <v>2</v>
      </c>
      <c r="C57" s="243">
        <f t="shared" si="7"/>
        <v>0</v>
      </c>
      <c r="D57" s="243">
        <f t="shared" si="8"/>
        <v>52.043880000000016</v>
      </c>
      <c r="E57" s="243">
        <f t="shared" si="9"/>
        <v>109.65220000000002</v>
      </c>
      <c r="F57" s="47">
        <f t="shared" ref="F57:F65" si="11">SUM(C57:E57)</f>
        <v>161.69608000000005</v>
      </c>
      <c r="G57" s="264">
        <f t="shared" si="10"/>
        <v>130.58365927668541</v>
      </c>
      <c r="H57" s="6"/>
      <c r="I57" s="6"/>
      <c r="J57" s="6"/>
      <c r="K57" s="6"/>
      <c r="L57" s="6"/>
      <c r="M57" s="6"/>
      <c r="N57" s="6"/>
      <c r="O57" s="1"/>
      <c r="P57" s="1"/>
      <c r="Q57" s="1"/>
      <c r="R57" s="1"/>
      <c r="S57" s="1"/>
      <c r="T57" s="1"/>
      <c r="U57" s="1"/>
    </row>
    <row r="58" spans="1:26" customFormat="1" ht="14.5" x14ac:dyDescent="0.35">
      <c r="A58" s="1">
        <f t="shared" ref="A58:A65" si="12">A57+1</f>
        <v>2030</v>
      </c>
      <c r="B58" s="46">
        <f>B57+1</f>
        <v>3</v>
      </c>
      <c r="C58" s="243">
        <f t="shared" si="7"/>
        <v>0</v>
      </c>
      <c r="D58" s="243">
        <f t="shared" si="8"/>
        <v>52.043880000000016</v>
      </c>
      <c r="E58" s="243">
        <f t="shared" si="9"/>
        <v>109.65220000000002</v>
      </c>
      <c r="F58" s="47">
        <f t="shared" si="11"/>
        <v>161.69608000000005</v>
      </c>
      <c r="G58" s="264">
        <f t="shared" si="10"/>
        <v>126.65728348854064</v>
      </c>
      <c r="H58" s="6"/>
      <c r="I58" s="6"/>
      <c r="J58" s="6"/>
      <c r="K58" s="6"/>
      <c r="L58" s="6"/>
      <c r="M58" s="6"/>
      <c r="N58" s="6"/>
      <c r="O58" s="1"/>
      <c r="P58" s="1"/>
      <c r="Q58" s="1"/>
      <c r="R58" s="1"/>
      <c r="S58" s="1"/>
      <c r="T58" s="1"/>
      <c r="U58" s="1"/>
    </row>
    <row r="59" spans="1:26" customFormat="1" ht="14.5" x14ac:dyDescent="0.35">
      <c r="A59" s="1">
        <f t="shared" si="12"/>
        <v>2031</v>
      </c>
      <c r="B59" s="46">
        <f t="shared" ref="B59:B65" si="13">B58+1</f>
        <v>4</v>
      </c>
      <c r="C59" s="243">
        <f t="shared" si="7"/>
        <v>0</v>
      </c>
      <c r="D59" s="243">
        <f t="shared" si="8"/>
        <v>52.043880000000016</v>
      </c>
      <c r="E59" s="243">
        <f t="shared" si="9"/>
        <v>109.65220000000002</v>
      </c>
      <c r="F59" s="47">
        <f t="shared" si="11"/>
        <v>161.69608000000005</v>
      </c>
      <c r="G59" s="264">
        <f t="shared" si="10"/>
        <v>122.8489655562955</v>
      </c>
      <c r="H59" s="6"/>
      <c r="I59" s="6"/>
      <c r="J59" s="6"/>
      <c r="K59" s="6"/>
      <c r="L59" s="6"/>
      <c r="M59" s="6"/>
      <c r="N59" s="6"/>
      <c r="O59" s="1"/>
      <c r="P59" s="1"/>
      <c r="Q59" s="1"/>
      <c r="R59" s="1"/>
      <c r="S59" s="1"/>
      <c r="T59" s="1"/>
      <c r="U59" s="1"/>
    </row>
    <row r="60" spans="1:26" customFormat="1" ht="14.5" x14ac:dyDescent="0.35">
      <c r="A60" s="1">
        <f t="shared" si="12"/>
        <v>2032</v>
      </c>
      <c r="B60" s="46">
        <f t="shared" si="13"/>
        <v>5</v>
      </c>
      <c r="C60" s="243">
        <f t="shared" si="7"/>
        <v>0</v>
      </c>
      <c r="D60" s="243">
        <f t="shared" si="8"/>
        <v>52.043880000000016</v>
      </c>
      <c r="E60" s="243">
        <f t="shared" si="9"/>
        <v>109.65220000000002</v>
      </c>
      <c r="F60" s="47">
        <f t="shared" si="11"/>
        <v>161.69608000000005</v>
      </c>
      <c r="G60" s="264">
        <f t="shared" si="10"/>
        <v>119.15515572870562</v>
      </c>
      <c r="H60" s="6"/>
      <c r="I60" s="6"/>
      <c r="J60" s="6"/>
      <c r="K60" s="6"/>
      <c r="L60" s="6"/>
      <c r="M60" s="6"/>
      <c r="N60" s="6"/>
      <c r="O60" s="1"/>
      <c r="P60" s="1"/>
      <c r="Q60" s="1"/>
      <c r="R60" s="1"/>
      <c r="S60" s="1"/>
      <c r="T60" s="1"/>
      <c r="U60" s="1"/>
    </row>
    <row r="61" spans="1:26" customFormat="1" ht="14.5" x14ac:dyDescent="0.35">
      <c r="A61" s="1">
        <f t="shared" si="12"/>
        <v>2033</v>
      </c>
      <c r="B61" s="46">
        <f t="shared" si="13"/>
        <v>6</v>
      </c>
      <c r="C61" s="243">
        <f t="shared" si="7"/>
        <v>0</v>
      </c>
      <c r="D61" s="243">
        <f t="shared" si="8"/>
        <v>52.043880000000016</v>
      </c>
      <c r="E61" s="243">
        <f t="shared" si="9"/>
        <v>109.65220000000002</v>
      </c>
      <c r="F61" s="47">
        <f t="shared" si="11"/>
        <v>161.69608000000005</v>
      </c>
      <c r="G61" s="264">
        <f t="shared" si="10"/>
        <v>115.5724109880753</v>
      </c>
      <c r="H61" s="6"/>
      <c r="I61" s="6"/>
      <c r="J61" s="6"/>
      <c r="K61" s="6"/>
      <c r="L61" s="6"/>
      <c r="M61" s="6"/>
      <c r="N61" s="6"/>
      <c r="O61" s="1"/>
      <c r="P61" s="1"/>
      <c r="Q61" s="1"/>
      <c r="R61" s="1"/>
      <c r="S61" s="1"/>
      <c r="T61" s="1"/>
      <c r="U61" s="1"/>
    </row>
    <row r="62" spans="1:26" customFormat="1" ht="14.5" x14ac:dyDescent="0.35">
      <c r="A62" s="1">
        <f t="shared" si="12"/>
        <v>2034</v>
      </c>
      <c r="B62" s="46">
        <f t="shared" si="13"/>
        <v>7</v>
      </c>
      <c r="C62" s="243">
        <f t="shared" si="7"/>
        <v>0</v>
      </c>
      <c r="D62" s="243">
        <f t="shared" si="8"/>
        <v>52.043880000000016</v>
      </c>
      <c r="E62" s="243">
        <f t="shared" si="9"/>
        <v>109.65220000000002</v>
      </c>
      <c r="F62" s="47">
        <f t="shared" si="11"/>
        <v>161.69608000000005</v>
      </c>
      <c r="G62" s="264">
        <f t="shared" si="10"/>
        <v>112.09739184100417</v>
      </c>
      <c r="H62" s="6"/>
      <c r="I62" s="6"/>
      <c r="J62" s="6"/>
      <c r="K62" s="6"/>
      <c r="L62" s="6"/>
      <c r="M62" s="6"/>
      <c r="N62" s="6"/>
      <c r="O62" s="1"/>
      <c r="P62" s="1"/>
      <c r="Q62" s="1"/>
      <c r="R62" s="1"/>
      <c r="S62" s="1"/>
      <c r="T62" s="1"/>
      <c r="U62" s="1"/>
    </row>
    <row r="63" spans="1:26" customFormat="1" ht="14.5" x14ac:dyDescent="0.35">
      <c r="A63" s="1">
        <f t="shared" si="12"/>
        <v>2035</v>
      </c>
      <c r="B63" s="46">
        <f t="shared" si="13"/>
        <v>8</v>
      </c>
      <c r="C63" s="243">
        <f t="shared" si="7"/>
        <v>0</v>
      </c>
      <c r="D63" s="243">
        <f t="shared" si="8"/>
        <v>52.043880000000016</v>
      </c>
      <c r="E63" s="243">
        <f t="shared" si="9"/>
        <v>109.65220000000002</v>
      </c>
      <c r="F63" s="47">
        <f t="shared" si="11"/>
        <v>161.69608000000005</v>
      </c>
      <c r="G63" s="264">
        <f t="shared" si="10"/>
        <v>108.72685920562965</v>
      </c>
      <c r="H63" s="6"/>
      <c r="I63" s="6"/>
      <c r="J63" s="6"/>
      <c r="K63" s="6"/>
      <c r="L63" s="6"/>
      <c r="M63" s="6"/>
      <c r="N63" s="6"/>
      <c r="O63" s="1"/>
      <c r="P63" s="1"/>
      <c r="Q63" s="1"/>
      <c r="R63" s="1"/>
      <c r="S63" s="1"/>
      <c r="T63" s="1"/>
      <c r="U63" s="1"/>
    </row>
    <row r="64" spans="1:26" customFormat="1" ht="14.5" x14ac:dyDescent="0.35">
      <c r="A64" s="1">
        <f t="shared" si="12"/>
        <v>2036</v>
      </c>
      <c r="B64" s="46">
        <f t="shared" si="13"/>
        <v>9</v>
      </c>
      <c r="C64" s="243">
        <f t="shared" si="7"/>
        <v>0</v>
      </c>
      <c r="D64" s="243">
        <f t="shared" si="8"/>
        <v>52.043880000000016</v>
      </c>
      <c r="E64" s="243">
        <f t="shared" si="9"/>
        <v>109.65220000000002</v>
      </c>
      <c r="F64" s="47">
        <f t="shared" si="11"/>
        <v>161.69608000000005</v>
      </c>
      <c r="G64" s="264">
        <f t="shared" si="10"/>
        <v>105.45767139246331</v>
      </c>
      <c r="H64" s="6"/>
      <c r="I64" s="6"/>
      <c r="J64" s="6"/>
      <c r="K64" s="6"/>
      <c r="L64" s="6"/>
      <c r="M64" s="6"/>
      <c r="N64" s="6"/>
      <c r="O64" s="1"/>
      <c r="P64" s="1"/>
      <c r="Q64" s="1"/>
      <c r="R64" s="1"/>
      <c r="S64" s="1"/>
      <c r="T64" s="1"/>
      <c r="U64" s="1"/>
    </row>
    <row r="65" spans="1:38" customFormat="1" ht="14.5" x14ac:dyDescent="0.35">
      <c r="A65" s="1">
        <f t="shared" si="12"/>
        <v>2037</v>
      </c>
      <c r="B65" s="184">
        <f t="shared" si="13"/>
        <v>10</v>
      </c>
      <c r="C65" s="243">
        <f t="shared" si="7"/>
        <v>0</v>
      </c>
      <c r="D65" s="243">
        <f t="shared" si="8"/>
        <v>52.043880000000016</v>
      </c>
      <c r="E65" s="243">
        <f t="shared" si="9"/>
        <v>109.65220000000002</v>
      </c>
      <c r="F65" s="185">
        <f t="shared" si="11"/>
        <v>161.69608000000005</v>
      </c>
      <c r="G65" s="265">
        <f t="shared" si="10"/>
        <v>102.2867811760071</v>
      </c>
      <c r="H65" s="6"/>
      <c r="I65" s="6"/>
      <c r="J65" s="6"/>
      <c r="K65" s="6"/>
      <c r="L65" s="6"/>
      <c r="M65" s="6"/>
      <c r="N65" s="6"/>
      <c r="O65" s="1"/>
      <c r="P65" s="1"/>
      <c r="Q65" s="1"/>
      <c r="R65" s="1"/>
      <c r="S65" s="1"/>
      <c r="T65" s="1"/>
      <c r="U65" s="1"/>
    </row>
    <row r="66" spans="1:38" customFormat="1" ht="14.5" x14ac:dyDescent="0.35">
      <c r="A66" s="1"/>
      <c r="B66" s="189"/>
      <c r="C66" s="187"/>
      <c r="D66" s="187"/>
      <c r="E66" s="187"/>
      <c r="F66" s="188"/>
      <c r="G66" s="190"/>
      <c r="H66" s="6"/>
      <c r="I66" s="6"/>
      <c r="J66" s="6"/>
      <c r="K66" s="6"/>
      <c r="L66" s="6"/>
      <c r="M66" s="6"/>
      <c r="N66" s="6"/>
      <c r="O66" s="1"/>
      <c r="P66" s="1"/>
      <c r="Q66" s="1"/>
      <c r="R66" s="1"/>
      <c r="S66" s="1"/>
      <c r="T66" s="1"/>
      <c r="U66" s="1"/>
    </row>
    <row r="67" spans="1:38" customFormat="1" ht="14.5" x14ac:dyDescent="0.35">
      <c r="A67" s="1"/>
      <c r="B67" s="56" t="s">
        <v>71</v>
      </c>
      <c r="C67" s="57"/>
      <c r="D67" s="58"/>
      <c r="E67" s="58"/>
      <c r="F67" s="58"/>
      <c r="G67" s="59">
        <f>SUM(G55:G65)</f>
        <v>1178.0179313676692</v>
      </c>
      <c r="H67" s="6"/>
      <c r="I67" s="6"/>
      <c r="J67" s="6"/>
      <c r="K67" s="6"/>
      <c r="L67" s="6"/>
      <c r="M67" s="6"/>
      <c r="N67" s="6"/>
      <c r="O67" s="1"/>
      <c r="P67" s="1"/>
      <c r="Q67" s="1"/>
      <c r="R67" s="1"/>
      <c r="S67" s="1"/>
      <c r="T67" s="1"/>
      <c r="U67" s="1"/>
      <c r="V67" s="1"/>
    </row>
    <row r="68" spans="1:38" ht="11.5" customHeight="1" x14ac:dyDescent="0.25">
      <c r="A68" s="24"/>
      <c r="B68" s="8"/>
      <c r="C68" s="24"/>
      <c r="D68" s="25"/>
      <c r="E68" s="25"/>
      <c r="F68" s="25"/>
      <c r="G68" s="24"/>
      <c r="I68" s="6"/>
      <c r="L68" s="23"/>
      <c r="M68" s="8"/>
      <c r="N68" s="1"/>
      <c r="P68" s="8"/>
      <c r="Q68" s="8"/>
      <c r="R68" s="1"/>
      <c r="T68" s="8"/>
      <c r="U68" s="24"/>
      <c r="V68" s="25"/>
      <c r="W68" s="25"/>
      <c r="X68" s="25"/>
      <c r="Y68" s="25"/>
      <c r="Z68" s="25"/>
      <c r="AA68" s="25"/>
      <c r="AB68" s="25"/>
      <c r="AC68" s="8"/>
      <c r="AD68" s="24"/>
      <c r="AE68" s="24"/>
      <c r="AF68" s="24"/>
      <c r="AG68" s="24"/>
      <c r="AH68" s="24"/>
      <c r="AI68" s="24"/>
      <c r="AL68" s="24"/>
    </row>
    <row r="69" spans="1:38" customFormat="1" ht="14.5" x14ac:dyDescent="0.35">
      <c r="A69" s="1"/>
      <c r="B69" s="8"/>
      <c r="C69" s="8"/>
      <c r="D69" s="35"/>
      <c r="E69" s="35"/>
      <c r="F69" s="35"/>
      <c r="G69" s="8"/>
      <c r="H69" s="6"/>
      <c r="I69" s="6"/>
      <c r="J69" s="6"/>
      <c r="K69" s="6"/>
      <c r="L69" s="6"/>
      <c r="M69" s="6"/>
      <c r="N69" s="34"/>
      <c r="O69" s="1"/>
      <c r="P69" s="1"/>
      <c r="Q69" s="1"/>
      <c r="R69" s="1"/>
      <c r="S69" s="1"/>
      <c r="T69" s="1"/>
      <c r="U69" s="1"/>
    </row>
    <row r="73" spans="1:38" x14ac:dyDescent="0.25">
      <c r="D73" s="1"/>
    </row>
  </sheetData>
  <mergeCells count="7">
    <mergeCell ref="A54:A55"/>
    <mergeCell ref="B8:M8"/>
    <mergeCell ref="B10:M10"/>
    <mergeCell ref="B12:M12"/>
    <mergeCell ref="B14:M14"/>
    <mergeCell ref="B16:M16"/>
    <mergeCell ref="B18:M1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0E19-8F68-4D87-8794-7422021106B4}">
  <sheetPr>
    <tabColor rgb="FF002060"/>
  </sheetPr>
  <dimension ref="A1:AL46"/>
  <sheetViews>
    <sheetView zoomScale="130" zoomScaleNormal="130" workbookViewId="0"/>
  </sheetViews>
  <sheetFormatPr defaultColWidth="9.1796875" defaultRowHeight="12.5" x14ac:dyDescent="0.25"/>
  <cols>
    <col min="1" max="1" width="12.54296875" style="1" bestFit="1" customWidth="1"/>
    <col min="2" max="2" width="15.26953125" style="3" customWidth="1"/>
    <col min="3" max="3" width="18.1796875" style="3" customWidth="1"/>
    <col min="4" max="4" width="17.453125" style="4" customWidth="1"/>
    <col min="5" max="6" width="14.7265625" style="4" customWidth="1"/>
    <col min="7" max="7" width="34.81640625" style="6" customWidth="1"/>
    <col min="8" max="8" width="14.7265625" style="6" customWidth="1"/>
    <col min="9" max="9" width="14.7265625" style="1" customWidth="1"/>
    <col min="10" max="10" width="14.7265625" style="6" customWidth="1"/>
    <col min="11" max="11" width="17.81640625" style="6" customWidth="1"/>
    <col min="12" max="12" width="16.7265625" style="6" customWidth="1"/>
    <col min="13" max="13" width="11.54296875" style="6" customWidth="1"/>
    <col min="14" max="14" width="18.1796875" style="6" customWidth="1"/>
    <col min="15" max="15" width="19.54296875" style="1" customWidth="1"/>
    <col min="16" max="16" width="13.26953125" style="3" customWidth="1"/>
    <col min="17" max="17" width="21.26953125" style="6" customWidth="1"/>
    <col min="18" max="18" width="14.7265625" style="6" customWidth="1"/>
    <col min="19" max="19" width="9.1796875" style="1"/>
    <col min="20" max="20" width="7.54296875" style="1" customWidth="1"/>
    <col min="21" max="21" width="18.7265625" style="1" customWidth="1"/>
    <col min="22" max="22" width="19.81640625" style="1" customWidth="1"/>
    <col min="23" max="25" width="14.453125" style="1" customWidth="1"/>
    <col min="26" max="26" width="17" style="1" customWidth="1"/>
    <col min="27" max="27" width="14.54296875" style="1" customWidth="1"/>
    <col min="28" max="28" width="14.453125" style="1" customWidth="1"/>
    <col min="29" max="33" width="14.54296875" style="1" customWidth="1"/>
    <col min="34" max="34" width="16.1796875" style="1" customWidth="1"/>
    <col min="35" max="35" width="2.453125" style="1" customWidth="1"/>
    <col min="36" max="36" width="16.1796875" style="1" customWidth="1"/>
    <col min="37" max="37" width="9.1796875" style="1"/>
    <col min="38" max="38" width="14.54296875" style="1" customWidth="1"/>
    <col min="39" max="16384" width="9.1796875" style="1"/>
  </cols>
  <sheetData>
    <row r="1" spans="1:21" ht="20" x14ac:dyDescent="0.4">
      <c r="B1" s="2" t="s">
        <v>340</v>
      </c>
      <c r="F1" s="5"/>
      <c r="M1" s="1"/>
      <c r="N1" s="2"/>
      <c r="O1" s="3"/>
      <c r="P1" s="4"/>
      <c r="Q1" s="1"/>
      <c r="R1" s="1"/>
    </row>
    <row r="2" spans="1:21" x14ac:dyDescent="0.25">
      <c r="M2" s="1"/>
      <c r="N2" s="3"/>
      <c r="O2" s="3"/>
      <c r="P2" s="4"/>
      <c r="Q2" s="1"/>
      <c r="R2" s="1"/>
    </row>
    <row r="3" spans="1:21" ht="17.5" x14ac:dyDescent="0.25">
      <c r="B3" s="7" t="s">
        <v>341</v>
      </c>
      <c r="C3" s="1"/>
      <c r="D3" s="8"/>
      <c r="E3" s="8"/>
      <c r="F3" s="8"/>
      <c r="G3" s="9"/>
      <c r="H3" s="8"/>
      <c r="I3" s="9"/>
      <c r="J3" s="9"/>
      <c r="K3" s="8"/>
      <c r="L3" s="8"/>
      <c r="M3" s="1"/>
      <c r="N3" s="7"/>
      <c r="P3" s="8"/>
      <c r="Q3" s="1"/>
      <c r="R3" s="1"/>
    </row>
    <row r="4" spans="1:21" customFormat="1" ht="17.5" x14ac:dyDescent="0.35">
      <c r="B4" s="7" t="s">
        <v>43</v>
      </c>
    </row>
    <row r="5" spans="1:21" customFormat="1" ht="17.5" x14ac:dyDescent="0.35">
      <c r="A5" s="1"/>
      <c r="B5" s="15" t="s">
        <v>342</v>
      </c>
      <c r="C5" s="3"/>
      <c r="D5" s="4"/>
      <c r="E5" s="4"/>
      <c r="F5" s="4"/>
      <c r="G5" s="6"/>
      <c r="H5" s="6"/>
      <c r="I5" s="6"/>
      <c r="J5" s="6"/>
      <c r="K5" s="6"/>
      <c r="L5" s="6"/>
      <c r="M5" s="6"/>
      <c r="N5" s="1"/>
      <c r="O5" s="3"/>
      <c r="P5" s="3"/>
      <c r="Q5" s="6"/>
      <c r="R5" s="6"/>
      <c r="S5" s="1"/>
      <c r="T5" s="1"/>
      <c r="U5" s="1"/>
    </row>
    <row r="6" spans="1:21" ht="17.5" x14ac:dyDescent="0.25">
      <c r="B6" s="7"/>
      <c r="C6" s="1"/>
      <c r="D6" s="8"/>
      <c r="E6" s="8"/>
      <c r="F6" s="8"/>
      <c r="G6" s="9"/>
      <c r="H6" s="8"/>
      <c r="I6" s="9"/>
      <c r="J6" s="9"/>
      <c r="K6" s="8"/>
      <c r="L6" s="8"/>
      <c r="M6" s="1"/>
      <c r="N6" s="7"/>
      <c r="P6" s="8"/>
      <c r="Q6" s="1"/>
      <c r="R6" s="1"/>
    </row>
    <row r="7" spans="1:21" ht="17.5" x14ac:dyDescent="0.25">
      <c r="B7" s="10" t="s">
        <v>298</v>
      </c>
      <c r="C7" s="11"/>
      <c r="D7" s="12"/>
      <c r="E7" s="12"/>
      <c r="F7" s="12"/>
      <c r="G7" s="13"/>
      <c r="H7" s="13"/>
      <c r="I7" s="12"/>
      <c r="J7" s="13"/>
      <c r="K7" s="12"/>
      <c r="L7" s="12"/>
      <c r="M7" s="14"/>
      <c r="N7" s="1"/>
      <c r="O7" s="15"/>
      <c r="P7" s="1"/>
      <c r="Q7" s="8"/>
      <c r="R7" s="1"/>
    </row>
    <row r="8" spans="1:21" ht="15" customHeight="1" x14ac:dyDescent="0.25">
      <c r="B8" s="502" t="s">
        <v>343</v>
      </c>
      <c r="C8" s="503"/>
      <c r="D8" s="503"/>
      <c r="E8" s="503"/>
      <c r="F8" s="503"/>
      <c r="G8" s="503"/>
      <c r="H8" s="503"/>
      <c r="I8" s="503"/>
      <c r="J8" s="503"/>
      <c r="K8" s="503"/>
      <c r="L8" s="503"/>
      <c r="M8" s="504"/>
      <c r="N8" s="1"/>
      <c r="O8" s="17"/>
      <c r="P8" s="1"/>
      <c r="Q8" s="8"/>
      <c r="R8" s="1"/>
    </row>
    <row r="9" spans="1:21" x14ac:dyDescent="0.25">
      <c r="B9" s="18"/>
      <c r="C9" s="169"/>
      <c r="D9" s="19"/>
      <c r="E9" s="20"/>
      <c r="F9" s="170"/>
      <c r="G9" s="168"/>
      <c r="H9" s="168"/>
      <c r="I9" s="168"/>
      <c r="J9" s="168"/>
      <c r="K9" s="168"/>
      <c r="L9" s="168"/>
      <c r="M9" s="16"/>
      <c r="N9" s="1"/>
      <c r="O9" s="21"/>
      <c r="P9" s="8"/>
      <c r="Q9" s="8"/>
      <c r="R9" s="1"/>
    </row>
    <row r="10" spans="1:21" ht="27" customHeight="1" x14ac:dyDescent="0.25">
      <c r="B10" s="499" t="s">
        <v>344</v>
      </c>
      <c r="C10" s="500"/>
      <c r="D10" s="500"/>
      <c r="E10" s="500"/>
      <c r="F10" s="500"/>
      <c r="G10" s="500"/>
      <c r="H10" s="500"/>
      <c r="I10" s="500"/>
      <c r="J10" s="500"/>
      <c r="K10" s="500"/>
      <c r="L10" s="500"/>
      <c r="M10" s="501"/>
      <c r="N10" s="1"/>
      <c r="O10" s="22"/>
      <c r="P10" s="1"/>
      <c r="Q10" s="8"/>
      <c r="R10" s="1"/>
    </row>
    <row r="11" spans="1:21" x14ac:dyDescent="0.25">
      <c r="B11" s="18"/>
      <c r="C11" s="169"/>
      <c r="D11" s="19"/>
      <c r="E11" s="20"/>
      <c r="F11" s="170"/>
      <c r="G11" s="168"/>
      <c r="H11" s="168"/>
      <c r="I11" s="168"/>
      <c r="J11" s="168"/>
      <c r="K11" s="168"/>
      <c r="L11" s="168"/>
      <c r="M11" s="16"/>
      <c r="N11" s="1"/>
      <c r="O11" s="21"/>
      <c r="P11" s="8"/>
      <c r="Q11" s="8"/>
      <c r="R11" s="1"/>
    </row>
    <row r="12" spans="1:21" ht="28.5" customHeight="1" x14ac:dyDescent="0.25">
      <c r="B12" s="508" t="s">
        <v>345</v>
      </c>
      <c r="C12" s="509"/>
      <c r="D12" s="509"/>
      <c r="E12" s="509"/>
      <c r="F12" s="509"/>
      <c r="G12" s="509"/>
      <c r="H12" s="509"/>
      <c r="I12" s="509"/>
      <c r="J12" s="509"/>
      <c r="K12" s="509"/>
      <c r="L12" s="509"/>
      <c r="M12" s="510"/>
      <c r="N12" s="1"/>
      <c r="O12" s="22"/>
      <c r="P12" s="1"/>
      <c r="Q12" s="8"/>
      <c r="R12" s="1"/>
    </row>
    <row r="13" spans="1:21" x14ac:dyDescent="0.25">
      <c r="B13" s="18"/>
      <c r="C13" s="169"/>
      <c r="D13" s="19"/>
      <c r="E13" s="20"/>
      <c r="F13" s="170"/>
      <c r="G13" s="168"/>
      <c r="H13" s="168"/>
      <c r="I13" s="168"/>
      <c r="J13" s="168"/>
      <c r="K13" s="168"/>
      <c r="L13" s="168"/>
      <c r="M13" s="16"/>
      <c r="N13" s="1"/>
      <c r="O13" s="21"/>
      <c r="P13" s="8"/>
      <c r="Q13" s="8"/>
      <c r="R13" s="1"/>
    </row>
    <row r="14" spans="1:21" ht="41.25" customHeight="1" x14ac:dyDescent="0.25">
      <c r="B14" s="508" t="s">
        <v>346</v>
      </c>
      <c r="C14" s="509"/>
      <c r="D14" s="509"/>
      <c r="E14" s="509"/>
      <c r="F14" s="509"/>
      <c r="G14" s="509"/>
      <c r="H14" s="509"/>
      <c r="I14" s="509"/>
      <c r="J14" s="509"/>
      <c r="K14" s="509"/>
      <c r="L14" s="509"/>
      <c r="M14" s="510"/>
      <c r="N14" s="1"/>
      <c r="O14" s="22"/>
      <c r="P14" s="1"/>
      <c r="Q14" s="8"/>
      <c r="R14" s="1"/>
    </row>
    <row r="15" spans="1:21" x14ac:dyDescent="0.25">
      <c r="B15" s="171"/>
      <c r="C15" s="85"/>
      <c r="D15" s="172"/>
      <c r="E15" s="172"/>
      <c r="F15" s="173"/>
      <c r="G15" s="174"/>
      <c r="H15" s="174"/>
      <c r="I15" s="174"/>
      <c r="J15" s="174"/>
      <c r="K15" s="174"/>
      <c r="L15" s="174"/>
      <c r="M15" s="175"/>
      <c r="N15" s="1"/>
      <c r="O15" s="8"/>
      <c r="P15" s="8"/>
      <c r="Q15" s="8"/>
      <c r="R15" s="1"/>
    </row>
    <row r="16" spans="1:21" x14ac:dyDescent="0.25">
      <c r="A16" s="24"/>
      <c r="B16" s="8" t="s">
        <v>347</v>
      </c>
      <c r="C16" s="24"/>
      <c r="D16" s="25"/>
      <c r="E16" s="25"/>
      <c r="F16" s="25"/>
      <c r="G16" s="24"/>
      <c r="H16" s="1"/>
      <c r="I16" s="8"/>
      <c r="J16" s="24"/>
      <c r="K16" s="1"/>
      <c r="L16" s="1"/>
      <c r="M16" s="1"/>
      <c r="N16" s="8"/>
      <c r="O16" s="24"/>
      <c r="P16" s="25"/>
      <c r="Q16" s="1"/>
      <c r="R16" s="1"/>
    </row>
    <row r="17" spans="1:38" x14ac:dyDescent="0.25">
      <c r="A17" s="24"/>
      <c r="B17" s="8"/>
      <c r="C17" s="24"/>
      <c r="D17" s="25"/>
      <c r="E17" s="25"/>
      <c r="F17" s="25"/>
      <c r="G17" s="24"/>
      <c r="H17" s="1"/>
      <c r="I17" s="8"/>
      <c r="J17" s="24"/>
      <c r="K17" s="1"/>
      <c r="L17" s="1"/>
      <c r="M17" s="1"/>
      <c r="N17" s="8"/>
      <c r="O17" s="24"/>
      <c r="P17" s="25"/>
      <c r="Q17" s="1"/>
      <c r="R17" s="1"/>
    </row>
    <row r="18" spans="1:38" ht="17.5" x14ac:dyDescent="0.25">
      <c r="A18" s="24"/>
      <c r="B18" s="161" t="s">
        <v>348</v>
      </c>
      <c r="C18" s="24"/>
      <c r="D18" s="25"/>
      <c r="E18" s="25"/>
      <c r="F18" s="25"/>
      <c r="G18" s="24"/>
      <c r="H18" s="1"/>
      <c r="I18" s="8"/>
      <c r="J18" s="24"/>
      <c r="K18" s="1"/>
      <c r="L18" s="1"/>
      <c r="M18" s="1"/>
      <c r="N18" s="8"/>
      <c r="O18" s="24"/>
      <c r="P18" s="25"/>
      <c r="Q18" s="1"/>
      <c r="R18" s="1"/>
    </row>
    <row r="19" spans="1:38" x14ac:dyDescent="0.25">
      <c r="A19" s="33"/>
      <c r="B19" s="154" t="s">
        <v>280</v>
      </c>
      <c r="C19" s="183">
        <f>SpacesUrbanCorridor*UtilizationCorridor*PeakPeriods*HourSavedPerSpace</f>
        <v>0</v>
      </c>
      <c r="D19" s="24"/>
      <c r="E19" s="24"/>
      <c r="F19" s="24"/>
      <c r="G19" s="33"/>
      <c r="H19" s="33"/>
      <c r="I19" s="8"/>
      <c r="J19" s="33"/>
      <c r="K19" s="33"/>
      <c r="L19" s="34"/>
      <c r="M19" s="8"/>
      <c r="N19" s="1"/>
      <c r="P19" s="8"/>
      <c r="Q19" s="8"/>
      <c r="R19" s="1"/>
    </row>
    <row r="20" spans="1:38" ht="18" customHeight="1" x14ac:dyDescent="0.25">
      <c r="A20" s="24"/>
      <c r="B20" s="154" t="s">
        <v>281</v>
      </c>
      <c r="C20" s="183">
        <f>SpacesRural*UtilizationCorridor*PeakPeriods*HourSavedPerSpace</f>
        <v>1.25</v>
      </c>
      <c r="D20" s="24"/>
      <c r="E20" s="24"/>
      <c r="F20" s="24"/>
      <c r="G20" s="24"/>
      <c r="H20" s="1"/>
      <c r="I20" s="8"/>
      <c r="J20" s="24"/>
      <c r="K20" s="1"/>
      <c r="L20" s="1"/>
      <c r="M20" s="1"/>
      <c r="N20" s="8"/>
      <c r="O20" s="24"/>
      <c r="P20" s="25"/>
      <c r="Q20" s="1"/>
      <c r="R20" s="1"/>
    </row>
    <row r="21" spans="1:38" x14ac:dyDescent="0.25">
      <c r="B21" s="8"/>
      <c r="C21" s="8"/>
      <c r="D21" s="24"/>
      <c r="E21" s="24"/>
      <c r="F21" s="24"/>
      <c r="G21" s="8"/>
      <c r="H21" s="8"/>
      <c r="I21" s="8"/>
      <c r="J21" s="8"/>
      <c r="K21" s="8"/>
      <c r="L21" s="8"/>
      <c r="M21" s="8"/>
      <c r="N21" s="34"/>
      <c r="P21" s="1"/>
      <c r="Q21" s="1"/>
      <c r="R21" s="1"/>
    </row>
    <row r="22" spans="1:38" ht="17.5" x14ac:dyDescent="0.25">
      <c r="B22" s="161" t="s">
        <v>349</v>
      </c>
      <c r="C22" s="4"/>
      <c r="F22" s="6"/>
      <c r="H22" s="1"/>
    </row>
    <row r="23" spans="1:38" x14ac:dyDescent="0.25">
      <c r="B23" s="154" t="s">
        <v>280</v>
      </c>
      <c r="C23" s="329">
        <f>C19*TimeValueTruck*HeavyDemandDays</f>
        <v>0</v>
      </c>
      <c r="D23" s="24"/>
      <c r="E23" s="24"/>
      <c r="F23" s="24"/>
      <c r="G23" s="24"/>
      <c r="H23" s="24"/>
      <c r="I23" s="24"/>
      <c r="J23" s="24"/>
    </row>
    <row r="24" spans="1:38" x14ac:dyDescent="0.25">
      <c r="B24" s="154" t="s">
        <v>281</v>
      </c>
      <c r="C24" s="329">
        <f>C20*TimeValueTruck*HeavyDemandDays</f>
        <v>8710</v>
      </c>
      <c r="D24" s="24"/>
      <c r="E24" s="24"/>
      <c r="F24" s="24"/>
      <c r="G24" s="24"/>
      <c r="H24" s="24"/>
      <c r="I24" s="24"/>
      <c r="J24" s="24"/>
    </row>
    <row r="25" spans="1:38" x14ac:dyDescent="0.25">
      <c r="B25" s="154" t="s">
        <v>71</v>
      </c>
      <c r="C25" s="329">
        <f>SUM(C23:C24)</f>
        <v>8710</v>
      </c>
      <c r="D25" s="24"/>
      <c r="E25" s="24"/>
      <c r="F25" s="24"/>
      <c r="G25" s="24"/>
      <c r="H25" s="24"/>
      <c r="I25" s="24"/>
      <c r="J25" s="24"/>
    </row>
    <row r="26" spans="1:38" x14ac:dyDescent="0.25">
      <c r="A26" s="24"/>
      <c r="B26" s="8"/>
      <c r="C26" s="24"/>
      <c r="D26" s="25"/>
      <c r="E26" s="25"/>
      <c r="F26" s="25"/>
      <c r="G26" s="24"/>
      <c r="H26" s="24"/>
      <c r="I26" s="8"/>
      <c r="J26" s="24"/>
      <c r="K26" s="24"/>
      <c r="L26" s="1"/>
      <c r="M26" s="1"/>
      <c r="N26" s="1"/>
      <c r="P26" s="8"/>
      <c r="Q26" s="1"/>
      <c r="R26" s="1"/>
      <c r="T26" s="8"/>
      <c r="U26" s="24"/>
      <c r="V26" s="25"/>
      <c r="W26" s="25"/>
      <c r="X26" s="25"/>
      <c r="Y26" s="25"/>
      <c r="Z26" s="25"/>
      <c r="AA26" s="25"/>
      <c r="AB26" s="25"/>
      <c r="AC26" s="8"/>
      <c r="AD26" s="24"/>
      <c r="AE26" s="24"/>
      <c r="AF26" s="24"/>
      <c r="AG26" s="24"/>
      <c r="AH26" s="24"/>
      <c r="AI26" s="24"/>
      <c r="AL26" s="24"/>
    </row>
    <row r="27" spans="1:38" ht="13" x14ac:dyDescent="0.3">
      <c r="B27" s="178"/>
      <c r="C27" s="179"/>
      <c r="D27" s="179"/>
      <c r="E27" s="179"/>
      <c r="F27" s="179"/>
      <c r="G27" s="179"/>
      <c r="H27" s="179"/>
      <c r="I27" s="179"/>
    </row>
    <row r="28" spans="1:38" ht="25.15" customHeight="1" x14ac:dyDescent="0.4">
      <c r="A28" s="24"/>
      <c r="B28" s="151" t="s">
        <v>350</v>
      </c>
      <c r="D28" s="150"/>
      <c r="E28" s="28"/>
      <c r="F28" s="28"/>
      <c r="G28" s="29"/>
      <c r="H28" s="29" t="s">
        <v>304</v>
      </c>
      <c r="I28" s="28"/>
      <c r="J28" s="29"/>
      <c r="K28" s="29"/>
      <c r="L28" s="30"/>
      <c r="M28" s="30"/>
      <c r="N28" s="30"/>
      <c r="P28" s="1"/>
      <c r="Q28" s="28"/>
      <c r="R28" s="31"/>
      <c r="S28" s="29"/>
      <c r="T28" s="29"/>
      <c r="U28" s="29"/>
      <c r="V28" s="29"/>
      <c r="W28" s="29"/>
      <c r="X28" s="32"/>
      <c r="Y28" s="32"/>
      <c r="Z28" s="29"/>
    </row>
    <row r="29" spans="1:38" ht="25.15" customHeight="1" x14ac:dyDescent="0.4">
      <c r="A29" s="24"/>
      <c r="B29" s="28"/>
      <c r="C29" s="28"/>
      <c r="D29" s="28"/>
      <c r="E29" s="28"/>
      <c r="F29" s="28"/>
      <c r="G29" s="29"/>
      <c r="H29" s="29"/>
      <c r="I29" s="327" t="s">
        <v>351</v>
      </c>
      <c r="J29" s="29"/>
      <c r="K29" s="30"/>
      <c r="L29" s="30"/>
      <c r="M29" s="326"/>
      <c r="N29" s="327" t="s">
        <v>352</v>
      </c>
      <c r="O29" s="29"/>
      <c r="P29" s="29"/>
      <c r="Q29" s="30"/>
      <c r="R29" s="31"/>
      <c r="S29" s="29"/>
      <c r="T29" s="29"/>
      <c r="U29" s="29"/>
      <c r="V29" s="29"/>
      <c r="W29" s="29"/>
      <c r="X29" s="32"/>
      <c r="Y29" s="32"/>
      <c r="Z29" s="29"/>
    </row>
    <row r="30" spans="1:38" ht="24" customHeight="1" x14ac:dyDescent="0.25">
      <c r="A30" s="497" t="s">
        <v>305</v>
      </c>
      <c r="B30" s="36"/>
      <c r="C30" s="180" t="s">
        <v>353</v>
      </c>
      <c r="D30" s="42" t="s">
        <v>312</v>
      </c>
      <c r="E30" s="40" t="s">
        <v>313</v>
      </c>
      <c r="F30" s="28"/>
      <c r="G30" s="29"/>
      <c r="H30" s="29"/>
      <c r="I30" s="322" t="s">
        <v>56</v>
      </c>
      <c r="J30" s="322" t="s">
        <v>354</v>
      </c>
      <c r="K30" s="1"/>
      <c r="L30" s="1"/>
      <c r="M30" s="1"/>
      <c r="N30" s="322" t="s">
        <v>56</v>
      </c>
      <c r="O30" s="322" t="s">
        <v>355</v>
      </c>
      <c r="P30" s="1"/>
      <c r="Q30" s="1"/>
      <c r="R30" s="1"/>
      <c r="S30" s="29"/>
      <c r="T30" s="29"/>
      <c r="U30" s="29"/>
      <c r="V30" s="29"/>
      <c r="W30" s="29"/>
      <c r="X30" s="32"/>
      <c r="Y30" s="32"/>
      <c r="Z30" s="29"/>
    </row>
    <row r="31" spans="1:38" s="181" customFormat="1" ht="16.5" customHeight="1" x14ac:dyDescent="0.3">
      <c r="A31" s="497"/>
      <c r="B31" s="41" t="s">
        <v>56</v>
      </c>
      <c r="C31" s="182" t="str">
        <f>_xlfn.CONCAT(CurrentDollarYear, "$")</f>
        <v>2022$</v>
      </c>
      <c r="D31" s="44" t="str">
        <f>_xlfn.CONCAT(CurrentDollarYear, "$")</f>
        <v>2022$</v>
      </c>
      <c r="E31" s="45" t="str">
        <f>_xlfn.CONCAT(CurrentDollarYear, "$")</f>
        <v>2022$</v>
      </c>
      <c r="F31" s="6"/>
      <c r="G31" s="6"/>
      <c r="H31" s="6"/>
      <c r="I31" s="324">
        <v>1</v>
      </c>
      <c r="J31" s="325">
        <f>UtilizationCorridor</f>
        <v>1</v>
      </c>
      <c r="K31" s="1"/>
      <c r="L31" s="1"/>
      <c r="M31" s="1"/>
      <c r="N31" s="324">
        <v>1</v>
      </c>
      <c r="O31" s="349">
        <f>J31/J31-1</f>
        <v>0</v>
      </c>
      <c r="P31" s="1"/>
      <c r="Q31" s="1"/>
      <c r="R31" s="1"/>
      <c r="S31" s="1"/>
      <c r="T31" s="1"/>
      <c r="U31" s="1"/>
    </row>
    <row r="32" spans="1:38" s="181" customFormat="1" ht="16.5" customHeight="1" x14ac:dyDescent="0.3">
      <c r="A32" s="1">
        <f>'F.Params&amp;Assumptions(UserInput)'!F16</f>
        <v>2028</v>
      </c>
      <c r="B32" s="46">
        <v>1</v>
      </c>
      <c r="C32" s="163">
        <f>$C$25</f>
        <v>8710</v>
      </c>
      <c r="D32" s="47">
        <f>C32</f>
        <v>8710</v>
      </c>
      <c r="E32" s="48">
        <f t="shared" ref="E32:E41" si="0">$D32/(1+RealDiscountRate)^($A32-CurrentDollarYear)</f>
        <v>7252.1397311624814</v>
      </c>
      <c r="F32" s="6"/>
      <c r="G32" s="6"/>
      <c r="H32" s="6"/>
      <c r="I32" s="324">
        <v>2</v>
      </c>
      <c r="J32" s="325">
        <f t="shared" ref="J32:J40" si="1">MIN(J31*(1+ParkingDemandGrowthRate),1)</f>
        <v>1</v>
      </c>
      <c r="K32" s="1"/>
      <c r="L32" s="1"/>
      <c r="M32" s="1"/>
      <c r="N32" s="324">
        <v>2</v>
      </c>
      <c r="O32" s="349">
        <f>J32/J31-1</f>
        <v>0</v>
      </c>
      <c r="P32" s="1"/>
      <c r="Q32" s="1"/>
      <c r="R32" s="1"/>
      <c r="S32" s="1"/>
      <c r="T32" s="1"/>
      <c r="U32" s="1"/>
    </row>
    <row r="33" spans="1:38" customFormat="1" ht="14.5" x14ac:dyDescent="0.35">
      <c r="A33" s="1">
        <f>A32+1</f>
        <v>2029</v>
      </c>
      <c r="B33" s="55">
        <f>B32+1</f>
        <v>2</v>
      </c>
      <c r="C33" s="163">
        <f>C32*(1+'F.Params&amp;Assumptions(UserInput)'!$F$28)*(1+O32)</f>
        <v>8877.9287999999997</v>
      </c>
      <c r="D33" s="47">
        <f t="shared" ref="D33:D41" si="2">C33</f>
        <v>8877.9287999999997</v>
      </c>
      <c r="E33" s="48">
        <f t="shared" si="0"/>
        <v>7169.7002766045543</v>
      </c>
      <c r="F33" s="6"/>
      <c r="G33" s="6"/>
      <c r="H33" s="6"/>
      <c r="I33" s="324">
        <v>3</v>
      </c>
      <c r="J33" s="325">
        <f t="shared" si="1"/>
        <v>1</v>
      </c>
      <c r="K33" s="1"/>
      <c r="L33" s="1"/>
      <c r="M33" s="1"/>
      <c r="N33" s="324">
        <v>3</v>
      </c>
      <c r="O33" s="349">
        <f t="shared" ref="O33:O40" si="3">J33/J32-1</f>
        <v>0</v>
      </c>
      <c r="P33" s="1"/>
      <c r="Q33" s="1"/>
      <c r="R33" s="1"/>
      <c r="S33" s="1"/>
      <c r="T33" s="1"/>
      <c r="U33" s="1"/>
    </row>
    <row r="34" spans="1:38" customFormat="1" ht="14.5" x14ac:dyDescent="0.35">
      <c r="A34" s="1">
        <f t="shared" ref="A34:A41" si="4">A33+1</f>
        <v>2030</v>
      </c>
      <c r="B34" s="46">
        <f>B33+1</f>
        <v>3</v>
      </c>
      <c r="C34" s="163">
        <f>C33*(1+'F.Params&amp;Assumptions(UserInput)'!$F$28)*(1+O33)</f>
        <v>9049.0952672639996</v>
      </c>
      <c r="D34" s="47">
        <f t="shared" si="2"/>
        <v>9049.0952672639996</v>
      </c>
      <c r="E34" s="48">
        <f t="shared" si="0"/>
        <v>7088.1979611420848</v>
      </c>
      <c r="F34" s="6"/>
      <c r="G34" s="6"/>
      <c r="H34" s="6"/>
      <c r="I34" s="324">
        <v>4</v>
      </c>
      <c r="J34" s="325">
        <f t="shared" si="1"/>
        <v>1</v>
      </c>
      <c r="K34" s="1"/>
      <c r="L34" s="1"/>
      <c r="M34" s="1"/>
      <c r="N34" s="324">
        <v>4</v>
      </c>
      <c r="O34" s="349">
        <f t="shared" si="3"/>
        <v>0</v>
      </c>
      <c r="P34" s="1"/>
      <c r="Q34" s="1"/>
      <c r="R34" s="1"/>
      <c r="S34" s="1"/>
      <c r="T34" s="1"/>
      <c r="U34" s="1"/>
    </row>
    <row r="35" spans="1:38" customFormat="1" ht="14.5" x14ac:dyDescent="0.35">
      <c r="A35" s="1">
        <f t="shared" si="4"/>
        <v>2031</v>
      </c>
      <c r="B35" s="46">
        <f t="shared" ref="B35:B41" si="5">B34+1</f>
        <v>4</v>
      </c>
      <c r="C35" s="163">
        <f>C34*(1+'F.Params&amp;Assumptions(UserInput)'!$F$28)*(1+O34)</f>
        <v>9223.5618240168496</v>
      </c>
      <c r="D35" s="47">
        <f t="shared" si="2"/>
        <v>9223.5618240168496</v>
      </c>
      <c r="E35" s="48">
        <f t="shared" si="0"/>
        <v>7007.6221317486961</v>
      </c>
      <c r="F35" s="6"/>
      <c r="G35" s="6"/>
      <c r="H35" s="6"/>
      <c r="I35" s="324">
        <v>5</v>
      </c>
      <c r="J35" s="325">
        <f t="shared" si="1"/>
        <v>1</v>
      </c>
      <c r="K35" s="1"/>
      <c r="L35" s="1"/>
      <c r="M35" s="1"/>
      <c r="N35" s="324">
        <v>5</v>
      </c>
      <c r="O35" s="349">
        <f t="shared" si="3"/>
        <v>0</v>
      </c>
      <c r="P35" s="1"/>
      <c r="Q35" s="1"/>
      <c r="R35" s="1"/>
      <c r="S35" s="1"/>
      <c r="T35" s="1"/>
      <c r="U35" s="1"/>
    </row>
    <row r="36" spans="1:38" customFormat="1" ht="14.5" x14ac:dyDescent="0.35">
      <c r="A36" s="1">
        <f t="shared" si="4"/>
        <v>2032</v>
      </c>
      <c r="B36" s="46">
        <f t="shared" si="5"/>
        <v>5</v>
      </c>
      <c r="C36" s="163">
        <f>C35*(1+'F.Params&amp;Assumptions(UserInput)'!$F$28)*(1+O35)</f>
        <v>9401.3920959838943</v>
      </c>
      <c r="D36" s="47">
        <f t="shared" si="2"/>
        <v>9401.3920959838943</v>
      </c>
      <c r="E36" s="48">
        <f t="shared" si="0"/>
        <v>6927.9622564973915</v>
      </c>
      <c r="F36" s="6"/>
      <c r="G36" s="6"/>
      <c r="H36" s="6"/>
      <c r="I36" s="324">
        <v>6</v>
      </c>
      <c r="J36" s="325">
        <f t="shared" si="1"/>
        <v>1</v>
      </c>
      <c r="K36" s="1"/>
      <c r="L36" s="1"/>
      <c r="M36" s="1"/>
      <c r="N36" s="324">
        <v>6</v>
      </c>
      <c r="O36" s="349">
        <f t="shared" si="3"/>
        <v>0</v>
      </c>
      <c r="P36" s="1"/>
      <c r="Q36" s="1"/>
      <c r="R36" s="1"/>
      <c r="S36" s="1"/>
      <c r="T36" s="1"/>
      <c r="U36" s="1"/>
    </row>
    <row r="37" spans="1:38" customFormat="1" ht="14.5" x14ac:dyDescent="0.35">
      <c r="A37" s="1">
        <f t="shared" si="4"/>
        <v>2033</v>
      </c>
      <c r="B37" s="46">
        <f t="shared" si="5"/>
        <v>6</v>
      </c>
      <c r="C37" s="163">
        <f>C36*(1+'F.Params&amp;Assumptions(UserInput)'!$F$28)*(1+O36)</f>
        <v>9582.6509355944636</v>
      </c>
      <c r="D37" s="47">
        <f t="shared" si="2"/>
        <v>9582.6509355944636</v>
      </c>
      <c r="E37" s="48">
        <f t="shared" si="0"/>
        <v>6849.2079231839589</v>
      </c>
      <c r="F37" s="6"/>
      <c r="G37" s="6"/>
      <c r="H37" s="6"/>
      <c r="I37" s="324">
        <v>7</v>
      </c>
      <c r="J37" s="325">
        <f t="shared" si="1"/>
        <v>1</v>
      </c>
      <c r="K37" s="1"/>
      <c r="L37" s="1"/>
      <c r="M37" s="1"/>
      <c r="N37" s="324">
        <v>7</v>
      </c>
      <c r="O37" s="349">
        <f t="shared" si="3"/>
        <v>0</v>
      </c>
      <c r="P37" s="1"/>
      <c r="Q37" s="1"/>
      <c r="R37" s="1"/>
      <c r="S37" s="1"/>
      <c r="T37" s="1"/>
      <c r="U37" s="1"/>
    </row>
    <row r="38" spans="1:38" customFormat="1" ht="14.5" x14ac:dyDescent="0.35">
      <c r="A38" s="1">
        <f t="shared" si="4"/>
        <v>2034</v>
      </c>
      <c r="B38" s="46">
        <f t="shared" si="5"/>
        <v>7</v>
      </c>
      <c r="C38" s="163">
        <f>C37*(1+'F.Params&amp;Assumptions(UserInput)'!$F$28)*(1+O37)</f>
        <v>9767.4044456327247</v>
      </c>
      <c r="D38" s="47">
        <f t="shared" si="2"/>
        <v>9767.4044456327247</v>
      </c>
      <c r="E38" s="48">
        <f t="shared" si="0"/>
        <v>6771.3488379659993</v>
      </c>
      <c r="F38" s="6"/>
      <c r="G38" s="6"/>
      <c r="H38" s="6"/>
      <c r="I38" s="324">
        <v>8</v>
      </c>
      <c r="J38" s="325">
        <f t="shared" si="1"/>
        <v>1</v>
      </c>
      <c r="K38" s="1"/>
      <c r="L38" s="1"/>
      <c r="M38" s="1"/>
      <c r="N38" s="324">
        <v>8</v>
      </c>
      <c r="O38" s="349">
        <f t="shared" si="3"/>
        <v>0</v>
      </c>
      <c r="P38" s="1"/>
      <c r="Q38" s="1"/>
      <c r="R38" s="1"/>
      <c r="S38" s="1"/>
      <c r="T38" s="1"/>
      <c r="U38" s="1"/>
    </row>
    <row r="39" spans="1:38" customFormat="1" ht="20" x14ac:dyDescent="0.4">
      <c r="A39" s="1">
        <f t="shared" si="4"/>
        <v>2035</v>
      </c>
      <c r="B39" s="46">
        <f t="shared" si="5"/>
        <v>8</v>
      </c>
      <c r="C39" s="163">
        <f>C38*(1+'F.Params&amp;Assumptions(UserInput)'!$F$28)*(1+O38)</f>
        <v>9955.7200033445224</v>
      </c>
      <c r="D39" s="47">
        <f t="shared" si="2"/>
        <v>9955.7200033445224</v>
      </c>
      <c r="E39" s="48">
        <f t="shared" si="0"/>
        <v>6694.3748240174427</v>
      </c>
      <c r="F39" s="6"/>
      <c r="G39" s="6"/>
      <c r="H39" s="6"/>
      <c r="I39" s="324">
        <v>9</v>
      </c>
      <c r="J39" s="325">
        <f t="shared" si="1"/>
        <v>1</v>
      </c>
      <c r="K39" s="30"/>
      <c r="L39" s="30"/>
      <c r="M39" s="6"/>
      <c r="N39" s="324">
        <v>9</v>
      </c>
      <c r="O39" s="349">
        <f t="shared" si="3"/>
        <v>0</v>
      </c>
      <c r="P39" s="1"/>
      <c r="Q39" s="1"/>
      <c r="R39" s="1"/>
      <c r="S39" s="1"/>
      <c r="T39" s="1"/>
      <c r="U39" s="1"/>
    </row>
    <row r="40" spans="1:38" customFormat="1" ht="20" x14ac:dyDescent="0.4">
      <c r="A40" s="1">
        <f t="shared" si="4"/>
        <v>2036</v>
      </c>
      <c r="B40" s="46">
        <f t="shared" si="5"/>
        <v>9</v>
      </c>
      <c r="C40" s="163">
        <f>C39*(1+'F.Params&amp;Assumptions(UserInput)'!$F$28)*(1+O39)</f>
        <v>10147.666285009005</v>
      </c>
      <c r="D40" s="47">
        <f t="shared" si="2"/>
        <v>10147.666285009005</v>
      </c>
      <c r="E40" s="48">
        <f t="shared" si="0"/>
        <v>6618.2758201983515</v>
      </c>
      <c r="F40" s="6"/>
      <c r="G40" s="6"/>
      <c r="H40" s="6"/>
      <c r="I40" s="324">
        <v>10</v>
      </c>
      <c r="J40" s="325">
        <f t="shared" si="1"/>
        <v>1</v>
      </c>
      <c r="K40" s="30"/>
      <c r="L40" s="30"/>
      <c r="M40" s="6"/>
      <c r="N40" s="324">
        <v>10</v>
      </c>
      <c r="O40" s="349">
        <f t="shared" si="3"/>
        <v>0</v>
      </c>
      <c r="P40" s="1"/>
      <c r="Q40" s="1"/>
      <c r="R40" s="1"/>
      <c r="S40" s="1"/>
      <c r="T40" s="1"/>
      <c r="U40" s="1"/>
    </row>
    <row r="41" spans="1:38" customFormat="1" ht="14.5" x14ac:dyDescent="0.35">
      <c r="A41" s="1">
        <f t="shared" si="4"/>
        <v>2037</v>
      </c>
      <c r="B41" s="184">
        <f t="shared" si="5"/>
        <v>10</v>
      </c>
      <c r="C41" s="163">
        <f>C40*(1+'F.Params&amp;Assumptions(UserInput)'!$F$28)*(1+O40)</f>
        <v>10343.313290983979</v>
      </c>
      <c r="D41" s="185">
        <f t="shared" si="2"/>
        <v>10343.313290983979</v>
      </c>
      <c r="E41" s="48">
        <f t="shared" si="0"/>
        <v>6543.0418797398406</v>
      </c>
      <c r="F41" s="6"/>
      <c r="G41" s="6"/>
      <c r="H41" s="6"/>
      <c r="I41" s="1" t="s">
        <v>356</v>
      </c>
      <c r="J41" s="6"/>
      <c r="K41" s="6"/>
      <c r="L41" s="6"/>
      <c r="M41" s="6"/>
      <c r="N41" s="6"/>
      <c r="O41" s="1"/>
      <c r="P41" s="1"/>
      <c r="Q41" s="1"/>
      <c r="R41" s="1"/>
      <c r="S41" s="1"/>
      <c r="T41" s="1"/>
      <c r="U41" s="1"/>
    </row>
    <row r="42" spans="1:38" customFormat="1" ht="14.5" x14ac:dyDescent="0.35">
      <c r="A42" s="1"/>
      <c r="B42" s="3"/>
      <c r="C42" s="3"/>
      <c r="D42" s="4"/>
      <c r="E42" s="4"/>
      <c r="F42" s="6"/>
      <c r="G42" s="6"/>
      <c r="H42" s="6"/>
      <c r="I42" s="6"/>
      <c r="J42" s="6"/>
      <c r="K42" s="6"/>
      <c r="L42" s="6"/>
      <c r="M42" s="6"/>
      <c r="N42" s="6"/>
      <c r="O42" s="1"/>
      <c r="P42" s="1"/>
      <c r="Q42" s="1"/>
      <c r="R42" s="1"/>
      <c r="S42" s="1"/>
      <c r="T42" s="1"/>
      <c r="U42" s="1"/>
    </row>
    <row r="43" spans="1:38" ht="13" x14ac:dyDescent="0.25">
      <c r="B43" s="56" t="s">
        <v>71</v>
      </c>
      <c r="C43" s="57"/>
      <c r="D43" s="57"/>
      <c r="E43" s="59">
        <f>SUM(E32:E41)</f>
        <v>68921.871642260812</v>
      </c>
    </row>
    <row r="45" spans="1:38" x14ac:dyDescent="0.25">
      <c r="A45" s="24"/>
      <c r="B45" s="8"/>
      <c r="C45" s="24"/>
      <c r="D45" s="25"/>
      <c r="E45" s="25"/>
      <c r="F45" s="25"/>
      <c r="G45" s="24"/>
      <c r="H45" s="24"/>
      <c r="I45" s="8"/>
      <c r="J45" s="24"/>
      <c r="K45" s="24"/>
      <c r="L45" s="1"/>
      <c r="M45" s="1"/>
      <c r="N45" s="1"/>
      <c r="P45" s="8"/>
      <c r="Q45" s="1"/>
      <c r="R45" s="1"/>
      <c r="T45" s="8"/>
      <c r="U45" s="24"/>
      <c r="V45" s="25"/>
      <c r="W45" s="25"/>
      <c r="X45" s="25"/>
      <c r="Y45" s="25"/>
      <c r="Z45" s="25"/>
      <c r="AA45" s="25"/>
      <c r="AB45" s="25"/>
      <c r="AC45" s="8"/>
      <c r="AD45" s="24"/>
      <c r="AE45" s="24"/>
      <c r="AF45" s="24"/>
      <c r="AG45" s="24"/>
      <c r="AH45" s="24"/>
      <c r="AI45" s="24"/>
      <c r="AL45" s="24"/>
    </row>
    <row r="46" spans="1:38" ht="13" x14ac:dyDescent="0.3">
      <c r="B46" s="178"/>
      <c r="C46" s="179"/>
      <c r="D46" s="179"/>
      <c r="E46" s="179"/>
      <c r="F46" s="179"/>
      <c r="G46" s="179"/>
      <c r="H46" s="179"/>
      <c r="I46" s="179"/>
    </row>
  </sheetData>
  <mergeCells count="5">
    <mergeCell ref="B8:M8"/>
    <mergeCell ref="B10:M10"/>
    <mergeCell ref="B12:M12"/>
    <mergeCell ref="B14:M14"/>
    <mergeCell ref="A30:A3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43B6A-02C8-4A01-9BAB-63C8302CCAF4}">
  <sheetPr>
    <tabColor rgb="FF002060"/>
  </sheetPr>
  <dimension ref="A1:AL40"/>
  <sheetViews>
    <sheetView zoomScale="130" zoomScaleNormal="130" workbookViewId="0"/>
  </sheetViews>
  <sheetFormatPr defaultRowHeight="14.5" x14ac:dyDescent="0.35"/>
  <cols>
    <col min="1" max="1" width="12.26953125" customWidth="1"/>
    <col min="2" max="2" width="18.7265625" customWidth="1"/>
    <col min="3" max="3" width="21.26953125" customWidth="1"/>
    <col min="4" max="4" width="11.26953125" customWidth="1"/>
    <col min="6" max="6" width="12.453125" customWidth="1"/>
    <col min="7" max="7" width="16.453125" customWidth="1"/>
    <col min="8" max="8" width="16.26953125" customWidth="1"/>
    <col min="13" max="13" width="65" customWidth="1"/>
  </cols>
  <sheetData>
    <row r="1" spans="1:21" s="1" customFormat="1" ht="20" x14ac:dyDescent="0.4">
      <c r="B1" s="2" t="s">
        <v>357</v>
      </c>
      <c r="C1" s="3"/>
      <c r="D1" s="4"/>
      <c r="E1" s="4"/>
      <c r="F1" s="5"/>
      <c r="G1" s="6"/>
      <c r="H1" s="6"/>
      <c r="J1" s="6"/>
      <c r="K1" s="6"/>
      <c r="L1" s="6"/>
      <c r="N1" s="2"/>
      <c r="O1" s="3"/>
      <c r="P1" s="4"/>
    </row>
    <row r="2" spans="1:21" s="1" customFormat="1" ht="12.5" x14ac:dyDescent="0.25">
      <c r="B2" s="3"/>
      <c r="C2" s="3"/>
      <c r="D2" s="4"/>
      <c r="E2" s="4"/>
      <c r="F2" s="4"/>
      <c r="G2" s="6"/>
      <c r="H2" s="6"/>
      <c r="J2" s="6"/>
      <c r="K2" s="6"/>
      <c r="L2" s="6"/>
      <c r="N2" s="3"/>
      <c r="O2" s="3"/>
      <c r="P2" s="4"/>
    </row>
    <row r="3" spans="1:21" s="1" customFormat="1" ht="17.5" x14ac:dyDescent="0.25">
      <c r="B3" s="7" t="s">
        <v>358</v>
      </c>
      <c r="D3" s="8"/>
      <c r="E3" s="8"/>
      <c r="F3" s="8"/>
      <c r="G3" s="9"/>
      <c r="H3" s="8"/>
      <c r="I3" s="9"/>
      <c r="J3" s="9"/>
      <c r="K3" s="8"/>
      <c r="L3" s="8"/>
      <c r="N3" s="7"/>
      <c r="P3" s="8"/>
    </row>
    <row r="4" spans="1:21" ht="17.5" x14ac:dyDescent="0.35">
      <c r="B4" s="7" t="s">
        <v>359</v>
      </c>
    </row>
    <row r="5" spans="1:21" ht="17.5" x14ac:dyDescent="0.35">
      <c r="A5" s="1"/>
      <c r="B5" s="15" t="s">
        <v>360</v>
      </c>
      <c r="C5" s="3"/>
      <c r="D5" s="4"/>
      <c r="E5" s="4"/>
      <c r="F5" s="4"/>
      <c r="G5" s="6"/>
      <c r="H5" s="6"/>
      <c r="I5" s="6"/>
      <c r="J5" s="6"/>
      <c r="K5" s="6"/>
      <c r="L5" s="6"/>
      <c r="M5" s="6"/>
      <c r="N5" s="1"/>
      <c r="O5" s="3"/>
      <c r="P5" s="3"/>
      <c r="Q5" s="6"/>
      <c r="R5" s="6"/>
      <c r="S5" s="1"/>
      <c r="T5" s="1"/>
      <c r="U5" s="1"/>
    </row>
    <row r="6" spans="1:21" s="1" customFormat="1" ht="17.5" x14ac:dyDescent="0.25">
      <c r="B6" s="7"/>
      <c r="D6" s="8"/>
      <c r="E6" s="8"/>
      <c r="F6" s="8"/>
      <c r="G6" s="9"/>
      <c r="H6" s="8"/>
      <c r="I6" s="9"/>
      <c r="J6" s="9"/>
      <c r="K6" s="8"/>
      <c r="L6" s="8"/>
      <c r="N6" s="7"/>
      <c r="P6" s="8"/>
    </row>
    <row r="7" spans="1:21" s="1" customFormat="1" ht="17.5" x14ac:dyDescent="0.25">
      <c r="B7" s="10" t="s">
        <v>298</v>
      </c>
      <c r="C7" s="11"/>
      <c r="D7" s="12"/>
      <c r="E7" s="12"/>
      <c r="F7" s="12"/>
      <c r="G7" s="13"/>
      <c r="H7" s="13"/>
      <c r="I7" s="12"/>
      <c r="J7" s="13"/>
      <c r="K7" s="12"/>
      <c r="L7" s="12"/>
      <c r="M7" s="14"/>
      <c r="O7" s="15"/>
      <c r="Q7" s="8"/>
    </row>
    <row r="8" spans="1:21" s="1" customFormat="1" ht="15" customHeight="1" x14ac:dyDescent="0.25">
      <c r="B8" s="502" t="s">
        <v>361</v>
      </c>
      <c r="C8" s="503"/>
      <c r="D8" s="503"/>
      <c r="E8" s="503"/>
      <c r="F8" s="503"/>
      <c r="G8" s="503"/>
      <c r="H8" s="503"/>
      <c r="I8" s="503"/>
      <c r="J8" s="503"/>
      <c r="K8" s="503"/>
      <c r="L8" s="503"/>
      <c r="M8" s="504"/>
      <c r="O8" s="17"/>
      <c r="Q8" s="8"/>
    </row>
    <row r="9" spans="1:21" s="1" customFormat="1" ht="12.5" x14ac:dyDescent="0.25">
      <c r="B9" s="18"/>
      <c r="C9" s="169"/>
      <c r="D9" s="19"/>
      <c r="E9" s="20"/>
      <c r="F9" s="170"/>
      <c r="G9" s="168"/>
      <c r="H9" s="168"/>
      <c r="I9" s="168"/>
      <c r="J9" s="168"/>
      <c r="K9" s="168"/>
      <c r="L9" s="168"/>
      <c r="M9" s="16"/>
      <c r="O9" s="21"/>
      <c r="P9" s="8"/>
      <c r="Q9" s="8"/>
    </row>
    <row r="10" spans="1:21" s="1" customFormat="1" ht="12.5" x14ac:dyDescent="0.25">
      <c r="B10" s="502" t="s">
        <v>362</v>
      </c>
      <c r="C10" s="503"/>
      <c r="D10" s="503"/>
      <c r="E10" s="503"/>
      <c r="F10" s="503"/>
      <c r="G10" s="503"/>
      <c r="H10" s="503"/>
      <c r="I10" s="503"/>
      <c r="J10" s="503"/>
      <c r="K10" s="503"/>
      <c r="L10" s="503"/>
      <c r="M10" s="504"/>
      <c r="O10" s="22"/>
      <c r="Q10" s="8"/>
    </row>
    <row r="11" spans="1:21" s="1" customFormat="1" ht="12.5" x14ac:dyDescent="0.25">
      <c r="B11" s="18"/>
      <c r="C11" s="169"/>
      <c r="D11" s="19"/>
      <c r="E11" s="20"/>
      <c r="F11" s="170"/>
      <c r="G11" s="168"/>
      <c r="H11" s="168"/>
      <c r="I11" s="168"/>
      <c r="J11" s="168"/>
      <c r="K11" s="168"/>
      <c r="L11" s="168"/>
      <c r="M11" s="16"/>
      <c r="O11" s="21"/>
      <c r="P11" s="8"/>
      <c r="Q11" s="8"/>
    </row>
    <row r="12" spans="1:21" s="1" customFormat="1" ht="12.5" x14ac:dyDescent="0.25">
      <c r="B12" s="505" t="s">
        <v>363</v>
      </c>
      <c r="C12" s="506"/>
      <c r="D12" s="506"/>
      <c r="E12" s="506"/>
      <c r="F12" s="506"/>
      <c r="G12" s="506"/>
      <c r="H12" s="506"/>
      <c r="I12" s="506"/>
      <c r="J12" s="506"/>
      <c r="K12" s="506"/>
      <c r="L12" s="506"/>
      <c r="M12" s="507"/>
      <c r="O12" s="22"/>
      <c r="Q12" s="8"/>
    </row>
    <row r="13" spans="1:21" s="1" customFormat="1" ht="12.5" x14ac:dyDescent="0.25">
      <c r="B13" s="18"/>
      <c r="C13" s="169"/>
      <c r="D13" s="19"/>
      <c r="E13" s="20"/>
      <c r="F13" s="170"/>
      <c r="G13" s="168"/>
      <c r="H13" s="168"/>
      <c r="I13" s="168"/>
      <c r="J13" s="168"/>
      <c r="K13" s="168"/>
      <c r="L13" s="168"/>
      <c r="M13" s="16"/>
      <c r="O13" s="21"/>
      <c r="P13" s="8"/>
      <c r="Q13" s="8"/>
    </row>
    <row r="14" spans="1:21" s="1" customFormat="1" ht="24.65" customHeight="1" x14ac:dyDescent="0.25">
      <c r="B14" s="499" t="s">
        <v>364</v>
      </c>
      <c r="C14" s="500"/>
      <c r="D14" s="500"/>
      <c r="E14" s="500"/>
      <c r="F14" s="500"/>
      <c r="G14" s="500"/>
      <c r="H14" s="500"/>
      <c r="I14" s="500"/>
      <c r="J14" s="500"/>
      <c r="K14" s="500"/>
      <c r="L14" s="500"/>
      <c r="M14" s="501"/>
      <c r="O14" s="22"/>
      <c r="Q14" s="8"/>
    </row>
    <row r="15" spans="1:21" s="1" customFormat="1" ht="12.5" x14ac:dyDescent="0.25">
      <c r="B15" s="171"/>
      <c r="C15" s="85"/>
      <c r="D15" s="172"/>
      <c r="E15" s="172"/>
      <c r="F15" s="173"/>
      <c r="G15" s="174"/>
      <c r="H15" s="174"/>
      <c r="I15" s="174"/>
      <c r="J15" s="174"/>
      <c r="K15" s="174"/>
      <c r="L15" s="174"/>
      <c r="M15" s="175"/>
      <c r="O15" s="8"/>
      <c r="P15" s="8"/>
      <c r="Q15" s="8"/>
    </row>
    <row r="16" spans="1:21" s="1" customFormat="1" ht="12.5" x14ac:dyDescent="0.25">
      <c r="A16" s="24"/>
      <c r="B16" s="8"/>
      <c r="C16" s="24"/>
      <c r="D16" s="25"/>
      <c r="E16" s="25"/>
      <c r="F16" s="25"/>
      <c r="G16" s="24"/>
      <c r="I16" s="8"/>
      <c r="J16" s="24"/>
      <c r="N16" s="8"/>
      <c r="O16" s="24"/>
      <c r="P16" s="25"/>
    </row>
    <row r="17" spans="1:38" s="1" customFormat="1" ht="17.5" x14ac:dyDescent="0.25">
      <c r="A17" s="24"/>
      <c r="B17" s="161" t="s">
        <v>365</v>
      </c>
      <c r="C17" s="24"/>
      <c r="D17" s="25"/>
      <c r="E17" s="25"/>
      <c r="F17" s="25"/>
      <c r="G17" s="24"/>
      <c r="I17" s="8"/>
      <c r="J17" s="24"/>
      <c r="N17" s="8"/>
      <c r="O17" s="24"/>
      <c r="P17" s="25"/>
    </row>
    <row r="18" spans="1:38" s="1" customFormat="1" ht="13" x14ac:dyDescent="0.25">
      <c r="A18" s="24"/>
      <c r="B18" s="258" t="s">
        <v>209</v>
      </c>
      <c r="C18" s="259" t="s">
        <v>242</v>
      </c>
      <c r="D18" s="259" t="s">
        <v>243</v>
      </c>
      <c r="E18" s="259" t="s">
        <v>244</v>
      </c>
      <c r="F18" s="259" t="s">
        <v>245</v>
      </c>
      <c r="I18" s="8"/>
      <c r="J18" s="24"/>
      <c r="N18" s="8"/>
      <c r="O18" s="24"/>
      <c r="P18" s="25"/>
    </row>
    <row r="19" spans="1:38" s="1" customFormat="1" ht="12.5" x14ac:dyDescent="0.25">
      <c r="A19" s="33"/>
      <c r="B19" s="154" t="s">
        <v>329</v>
      </c>
      <c r="C19" s="176">
        <f>'2. Travel Time Savings_A'!F24*NOXUrbanCorridor/Metric_Ton</f>
        <v>0</v>
      </c>
      <c r="D19" s="176">
        <f>'2. Travel Time Savings_A'!F24*SO2UrbanCorridor/Metric_Ton</f>
        <v>0</v>
      </c>
      <c r="E19" s="176">
        <f>'2. Travel Time Savings_A'!F24*PM25UrbanCorridor/Metric_Ton</f>
        <v>0</v>
      </c>
      <c r="F19" s="176">
        <f>'2. Travel Time Savings_A'!F24*CO2UrbanCorridor/Metric_Ton</f>
        <v>0</v>
      </c>
      <c r="H19" s="33"/>
      <c r="I19" s="8"/>
      <c r="J19" s="33"/>
      <c r="K19" s="33"/>
      <c r="L19" s="34"/>
      <c r="M19" s="8"/>
      <c r="P19" s="8"/>
      <c r="Q19" s="8"/>
    </row>
    <row r="20" spans="1:38" s="1" customFormat="1" ht="18" customHeight="1" x14ac:dyDescent="0.25">
      <c r="A20" s="24"/>
      <c r="B20" s="154" t="s">
        <v>330</v>
      </c>
      <c r="C20" s="176">
        <f>'2. Travel Time Savings_A'!F25*NOXUrbanCorridor/Metric_Ton</f>
        <v>0</v>
      </c>
      <c r="D20" s="176">
        <f>'2. Travel Time Savings_A'!F25*SO2UrbanCorridor/Metric_Ton</f>
        <v>0</v>
      </c>
      <c r="E20" s="176">
        <f>'2. Travel Time Savings_A'!F25*PM25UrbanCorridor/Metric_Ton</f>
        <v>0</v>
      </c>
      <c r="F20" s="176">
        <f>'2. Travel Time Savings_A'!F25*CO2UrbanCorridor/Metric_Ton</f>
        <v>0</v>
      </c>
      <c r="I20" s="8"/>
      <c r="J20" s="24"/>
      <c r="N20" s="8"/>
      <c r="O20" s="24"/>
      <c r="P20" s="25"/>
    </row>
    <row r="21" spans="1:38" s="1" customFormat="1" ht="18" customHeight="1" x14ac:dyDescent="0.25">
      <c r="A21" s="24"/>
      <c r="B21" s="154" t="s">
        <v>331</v>
      </c>
      <c r="C21" s="176">
        <f>'2. Travel Time Savings_A'!F26*NOXUrbanCorridor/Metric_Ton</f>
        <v>6.2183386291420799E-4</v>
      </c>
      <c r="D21" s="176">
        <f>'2. Travel Time Savings_A'!F26*SO2UrbanCorridor/Metric_Ton</f>
        <v>6.0372219700408544E-6</v>
      </c>
      <c r="E21" s="176">
        <f>'2. Travel Time Savings_A'!F26*PM25UrbanCorridor/Metric_Ton</f>
        <v>5.0839763958238777E-5</v>
      </c>
      <c r="F21" s="176">
        <f>'2. Travel Time Savings_A'!F26*CO2UrbanCorridor/Metric_Ton</f>
        <v>0.34233940081706776</v>
      </c>
      <c r="I21" s="8"/>
      <c r="J21" s="24"/>
      <c r="N21" s="8"/>
      <c r="O21" s="24"/>
      <c r="P21" s="25"/>
    </row>
    <row r="22" spans="1:38" s="1" customFormat="1" ht="18" customHeight="1" x14ac:dyDescent="0.25">
      <c r="A22" s="24"/>
      <c r="B22" s="154" t="s">
        <v>332</v>
      </c>
      <c r="C22" s="176">
        <f>'2. Travel Time Savings_A'!F27*NOXUrbanCorridor/Metric_Ton</f>
        <v>0</v>
      </c>
      <c r="D22" s="176">
        <f>'2. Travel Time Savings_A'!F27*SO2UrbanCorridor/Metric_Ton</f>
        <v>0</v>
      </c>
      <c r="E22" s="176">
        <f>'2. Travel Time Savings_A'!F27*PM25UrbanCorridor/Metric_Ton</f>
        <v>0</v>
      </c>
      <c r="F22" s="176">
        <f>'2. Travel Time Savings_A'!F27*CO2UrbanCorridor/Metric_Ton</f>
        <v>0</v>
      </c>
      <c r="I22" s="8"/>
      <c r="J22" s="24"/>
      <c r="N22" s="8"/>
      <c r="O22" s="24"/>
      <c r="P22" s="25"/>
    </row>
    <row r="24" spans="1:38" s="1" customFormat="1" ht="20" x14ac:dyDescent="0.4">
      <c r="A24" s="24"/>
      <c r="B24" s="151" t="s">
        <v>366</v>
      </c>
      <c r="C24" s="3"/>
      <c r="D24" s="150"/>
      <c r="E24" s="150"/>
      <c r="F24" s="150"/>
      <c r="G24" s="253"/>
      <c r="H24" s="253" t="s">
        <v>304</v>
      </c>
      <c r="I24" s="150"/>
      <c r="J24" s="253"/>
      <c r="K24" s="253"/>
      <c r="L24" s="254"/>
      <c r="M24" s="254"/>
      <c r="N24" s="30"/>
      <c r="Q24" s="28"/>
      <c r="R24" s="31"/>
      <c r="S24" s="29"/>
      <c r="T24" s="29"/>
      <c r="U24" s="29"/>
      <c r="V24" s="29"/>
      <c r="W24" s="29"/>
      <c r="X24" s="32"/>
      <c r="Y24" s="32"/>
      <c r="Z24" s="29"/>
    </row>
    <row r="25" spans="1:38" s="1" customFormat="1" ht="17.25" customHeight="1" x14ac:dyDescent="0.25">
      <c r="A25" s="24"/>
      <c r="B25" s="8"/>
      <c r="C25" s="24"/>
      <c r="D25" s="25"/>
      <c r="E25" s="25"/>
      <c r="F25" s="25"/>
      <c r="G25" s="24"/>
      <c r="H25" s="24"/>
      <c r="I25" s="6"/>
      <c r="J25" s="6"/>
      <c r="K25" s="6"/>
      <c r="L25" s="6"/>
      <c r="M25" s="8"/>
      <c r="P25" s="8"/>
      <c r="Q25" s="8"/>
      <c r="T25" s="8"/>
      <c r="U25" s="24"/>
      <c r="V25" s="25"/>
      <c r="W25" s="25"/>
      <c r="X25" s="25"/>
      <c r="Y25" s="25"/>
      <c r="Z25" s="25"/>
      <c r="AA25" s="25"/>
      <c r="AB25" s="25"/>
      <c r="AC25" s="8"/>
      <c r="AD25" s="24"/>
      <c r="AE25" s="24"/>
      <c r="AF25" s="24"/>
      <c r="AG25" s="24"/>
      <c r="AH25" s="24"/>
      <c r="AI25" s="24"/>
      <c r="AL25" s="24"/>
    </row>
    <row r="26" spans="1:38" ht="59.5" customHeight="1" x14ac:dyDescent="0.35">
      <c r="A26" s="497" t="s">
        <v>305</v>
      </c>
      <c r="B26" s="36"/>
      <c r="C26" s="164" t="s">
        <v>242</v>
      </c>
      <c r="D26" s="164" t="s">
        <v>243</v>
      </c>
      <c r="E26" s="164" t="s">
        <v>244</v>
      </c>
      <c r="F26" s="164" t="s">
        <v>245</v>
      </c>
      <c r="G26" s="42" t="s">
        <v>312</v>
      </c>
      <c r="H26" s="40" t="s">
        <v>367</v>
      </c>
      <c r="I26" s="6"/>
      <c r="J26" s="6"/>
      <c r="K26" s="6"/>
      <c r="L26" s="6"/>
      <c r="M26" s="6"/>
      <c r="N26" s="6"/>
      <c r="O26" s="1"/>
      <c r="P26" s="1"/>
      <c r="Q26" s="1"/>
      <c r="R26" s="1"/>
      <c r="S26" s="1"/>
      <c r="T26" s="1"/>
      <c r="U26" s="1"/>
    </row>
    <row r="27" spans="1:38" x14ac:dyDescent="0.35">
      <c r="A27" s="497"/>
      <c r="B27" s="41" t="s">
        <v>56</v>
      </c>
      <c r="C27" s="162" t="str">
        <f t="shared" ref="C27:H27" si="0">_xlfn.CONCAT(CurrentDollarYear, "$")</f>
        <v>2022$</v>
      </c>
      <c r="D27" s="162" t="str">
        <f t="shared" si="0"/>
        <v>2022$</v>
      </c>
      <c r="E27" s="162" t="str">
        <f t="shared" si="0"/>
        <v>2022$</v>
      </c>
      <c r="F27" s="162" t="str">
        <f t="shared" si="0"/>
        <v>2022$</v>
      </c>
      <c r="G27" s="44" t="str">
        <f t="shared" si="0"/>
        <v>2022$</v>
      </c>
      <c r="H27" s="45" t="str">
        <f t="shared" si="0"/>
        <v>2022$</v>
      </c>
      <c r="I27" s="6"/>
      <c r="J27" s="6"/>
      <c r="K27" s="6"/>
      <c r="L27" s="6"/>
      <c r="M27" s="6"/>
      <c r="N27" s="6"/>
      <c r="O27" s="1"/>
      <c r="P27" s="1"/>
      <c r="Q27" s="1"/>
      <c r="R27" s="1"/>
      <c r="S27" s="1"/>
      <c r="T27" s="1"/>
      <c r="U27" s="1"/>
    </row>
    <row r="28" spans="1:38" x14ac:dyDescent="0.35">
      <c r="A28" s="1">
        <f>'F.Params&amp;Assumptions(UserInput)'!F16</f>
        <v>2028</v>
      </c>
      <c r="B28" s="46">
        <v>1</v>
      </c>
      <c r="C28" s="163">
        <f>SUM($C$19:$C$22)*'F.Params&amp;Assumptions(UserInput)'!F113</f>
        <v>13.24506128007263</v>
      </c>
      <c r="D28" s="163">
        <f>SUM($D$19:$D$22)*'F.Params&amp;Assumptions(UserInput)'!G113</f>
        <v>0.35438492964139817</v>
      </c>
      <c r="E28" s="163">
        <f>SUM($E$19:$E$22)*'F.Params&amp;Assumptions(UserInput)'!H113</f>
        <v>52.395460735360885</v>
      </c>
      <c r="F28" s="163">
        <f>SUM($F$19:$F$22)*'F.Params&amp;Assumptions(UserInput)'!I113</f>
        <v>85.584850204266942</v>
      </c>
      <c r="G28" s="47">
        <f>SUM(C28:F28)</f>
        <v>151.57975714934184</v>
      </c>
      <c r="H28" s="48">
        <f t="shared" ref="H28:H37" si="1">SUM(C28:E28)/(1+RealDiscountRate)^($A28-CurrentDollarYear)+F28/(1+CO2BenefitDiscountRate)^($A28-CurrentDollarYear)</f>
        <v>130.94572513659645</v>
      </c>
      <c r="I28" s="6"/>
      <c r="J28" s="6"/>
      <c r="K28" s="6"/>
      <c r="L28" s="6"/>
      <c r="M28" s="6"/>
      <c r="N28" s="6"/>
      <c r="O28" s="1"/>
      <c r="P28" s="1"/>
      <c r="Q28" s="1"/>
      <c r="R28" s="1"/>
      <c r="S28" s="1"/>
      <c r="T28" s="1"/>
      <c r="U28" s="1"/>
    </row>
    <row r="29" spans="1:38" x14ac:dyDescent="0.35">
      <c r="A29" s="1">
        <f>A28+1</f>
        <v>2029</v>
      </c>
      <c r="B29" s="55">
        <f>B28+1</f>
        <v>2</v>
      </c>
      <c r="C29" s="163">
        <f>SUM($C$19:$C$22)*'F.Params&amp;Assumptions(UserInput)'!F114</f>
        <v>13.493794825238313</v>
      </c>
      <c r="D29" s="163">
        <f>SUM($D$19:$D$22)*'F.Params&amp;Assumptions(UserInput)'!G114</f>
        <v>0.36283704039945536</v>
      </c>
      <c r="E29" s="163">
        <f>SUM($E$19:$E$22)*'F.Params&amp;Assumptions(UserInput)'!H114</f>
        <v>53.361416250567423</v>
      </c>
      <c r="F29" s="163">
        <f>SUM($F$19:$F$22)*'F.Params&amp;Assumptions(UserInput)'!I114</f>
        <v>86.611868406718145</v>
      </c>
      <c r="G29" s="47">
        <f t="shared" ref="G29:G36" si="2">SUM(C29:F29)</f>
        <v>153.82991652292333</v>
      </c>
      <c r="H29" s="48">
        <f t="shared" si="1"/>
        <v>129.68526841314107</v>
      </c>
      <c r="I29" s="6"/>
      <c r="J29" s="6"/>
      <c r="K29" s="6"/>
      <c r="L29" s="6"/>
      <c r="M29" s="6"/>
      <c r="N29" s="6"/>
      <c r="O29" s="1"/>
      <c r="P29" s="1"/>
      <c r="Q29" s="1"/>
      <c r="R29" s="1"/>
      <c r="S29" s="1"/>
      <c r="T29" s="1"/>
      <c r="U29" s="1"/>
    </row>
    <row r="30" spans="1:38" x14ac:dyDescent="0.35">
      <c r="A30" s="1">
        <f t="shared" ref="A30:A37" si="3">A29+1</f>
        <v>2030</v>
      </c>
      <c r="B30" s="46">
        <f>B29+1</f>
        <v>3</v>
      </c>
      <c r="C30" s="163">
        <f>SUM($C$19:$C$22)*'F.Params&amp;Assumptions(UserInput)'!F115</f>
        <v>13.680344984112576</v>
      </c>
      <c r="D30" s="163">
        <f>SUM($D$19:$D$22)*'F.Params&amp;Assumptions(UserInput)'!G115</f>
        <v>0.37128915115751254</v>
      </c>
      <c r="E30" s="163">
        <f>SUM($E$19:$E$22)*'F.Params&amp;Assumptions(UserInput)'!H115</f>
        <v>54.347707671357256</v>
      </c>
      <c r="F30" s="163">
        <f>SUM($F$19:$F$22)*'F.Params&amp;Assumptions(UserInput)'!I115</f>
        <v>87.981226009986415</v>
      </c>
      <c r="G30" s="47">
        <f t="shared" si="2"/>
        <v>156.38056781661376</v>
      </c>
      <c r="H30" s="48">
        <f t="shared" si="1"/>
        <v>128.66864841327873</v>
      </c>
      <c r="I30" s="6"/>
      <c r="J30" s="6"/>
      <c r="K30" s="6"/>
      <c r="L30" s="6"/>
      <c r="M30" s="6"/>
      <c r="N30" s="6"/>
      <c r="O30" s="1"/>
      <c r="P30" s="1"/>
      <c r="Q30" s="1"/>
      <c r="R30" s="1"/>
      <c r="S30" s="1"/>
      <c r="T30" s="1"/>
      <c r="U30" s="1"/>
    </row>
    <row r="31" spans="1:38" x14ac:dyDescent="0.35">
      <c r="A31" s="1">
        <f t="shared" si="3"/>
        <v>2031</v>
      </c>
      <c r="B31" s="46">
        <f t="shared" ref="B31:B37" si="4">B30+1</f>
        <v>4</v>
      </c>
      <c r="C31" s="163">
        <f>SUM($C$19:$C$22)*'F.Params&amp;Assumptions(UserInput)'!F116</f>
        <v>13.680344984112576</v>
      </c>
      <c r="D31" s="163">
        <f>SUM($D$19:$D$22)*'F.Params&amp;Assumptions(UserInput)'!G116</f>
        <v>0.37128915115751254</v>
      </c>
      <c r="E31" s="163">
        <f>SUM($E$19:$E$22)*'F.Params&amp;Assumptions(UserInput)'!H116</f>
        <v>54.347707671357256</v>
      </c>
      <c r="F31" s="163">
        <f>SUM($F$19:$F$22)*'F.Params&amp;Assumptions(UserInput)'!I116</f>
        <v>89.692923014071752</v>
      </c>
      <c r="G31" s="47">
        <f t="shared" si="2"/>
        <v>158.09226482069909</v>
      </c>
      <c r="H31" s="48">
        <f t="shared" si="1"/>
        <v>127.0175815778268</v>
      </c>
      <c r="I31" s="6"/>
      <c r="J31" s="6"/>
      <c r="K31" s="6"/>
      <c r="L31" s="6"/>
      <c r="M31" s="6"/>
      <c r="N31" s="6"/>
      <c r="O31" s="1"/>
      <c r="P31" s="1"/>
      <c r="Q31" s="1"/>
      <c r="R31" s="1"/>
      <c r="S31" s="1"/>
      <c r="T31" s="1"/>
      <c r="U31" s="1"/>
    </row>
    <row r="32" spans="1:38" x14ac:dyDescent="0.35">
      <c r="A32" s="1">
        <f t="shared" si="3"/>
        <v>2032</v>
      </c>
      <c r="B32" s="46">
        <f t="shared" si="4"/>
        <v>5</v>
      </c>
      <c r="C32" s="163">
        <f>SUM($C$19:$C$22)*'F.Params&amp;Assumptions(UserInput)'!F117</f>
        <v>13.680344984112576</v>
      </c>
      <c r="D32" s="163">
        <f>SUM($D$19:$D$22)*'F.Params&amp;Assumptions(UserInput)'!G117</f>
        <v>0.37128915115751254</v>
      </c>
      <c r="E32" s="163">
        <f>SUM($E$19:$E$22)*'F.Params&amp;Assumptions(UserInput)'!H117</f>
        <v>54.347707671357256</v>
      </c>
      <c r="F32" s="163">
        <f>SUM($F$19:$F$22)*'F.Params&amp;Assumptions(UserInput)'!I117</f>
        <v>90.719941216522955</v>
      </c>
      <c r="G32" s="47">
        <f t="shared" si="2"/>
        <v>159.1192830231503</v>
      </c>
      <c r="H32" s="48">
        <f t="shared" si="1"/>
        <v>124.82598051584301</v>
      </c>
      <c r="I32" s="6"/>
      <c r="J32" s="6"/>
      <c r="K32" s="6"/>
      <c r="L32" s="6"/>
      <c r="M32" s="6"/>
      <c r="N32" s="6"/>
      <c r="O32" s="1"/>
      <c r="P32" s="1"/>
      <c r="Q32" s="1"/>
      <c r="R32" s="1"/>
      <c r="S32" s="1"/>
      <c r="T32" s="1"/>
      <c r="U32" s="1"/>
    </row>
    <row r="33" spans="1:21" x14ac:dyDescent="0.35">
      <c r="A33" s="1">
        <f t="shared" si="3"/>
        <v>2033</v>
      </c>
      <c r="B33" s="46">
        <f t="shared" si="4"/>
        <v>6</v>
      </c>
      <c r="C33" s="163">
        <f>SUM($C$19:$C$22)*'F.Params&amp;Assumptions(UserInput)'!F118</f>
        <v>13.680344984112576</v>
      </c>
      <c r="D33" s="163">
        <f>SUM($D$19:$D$22)*'F.Params&amp;Assumptions(UserInput)'!G118</f>
        <v>0.37128915115751254</v>
      </c>
      <c r="E33" s="163">
        <f>SUM($E$19:$E$22)*'F.Params&amp;Assumptions(UserInput)'!H118</f>
        <v>54.347707671357256</v>
      </c>
      <c r="F33" s="163">
        <f>SUM($F$19:$F$22)*'F.Params&amp;Assumptions(UserInput)'!I118</f>
        <v>92.431638220608292</v>
      </c>
      <c r="G33" s="47">
        <f t="shared" si="2"/>
        <v>160.83098002723563</v>
      </c>
      <c r="H33" s="48">
        <f t="shared" si="1"/>
        <v>123.2278381143999</v>
      </c>
      <c r="I33" s="6"/>
      <c r="J33" s="6"/>
      <c r="K33" s="6"/>
      <c r="L33" s="6"/>
      <c r="M33" s="6"/>
      <c r="N33" s="6"/>
      <c r="O33" s="1"/>
      <c r="P33" s="1"/>
      <c r="Q33" s="1"/>
      <c r="R33" s="1"/>
      <c r="S33" s="1"/>
      <c r="T33" s="1"/>
      <c r="U33" s="1"/>
    </row>
    <row r="34" spans="1:21" x14ac:dyDescent="0.35">
      <c r="A34" s="1">
        <f t="shared" si="3"/>
        <v>2034</v>
      </c>
      <c r="B34" s="46">
        <f t="shared" si="4"/>
        <v>7</v>
      </c>
      <c r="C34" s="163">
        <f>SUM($C$19:$C$22)*'F.Params&amp;Assumptions(UserInput)'!F119</f>
        <v>13.680344984112576</v>
      </c>
      <c r="D34" s="163">
        <f>SUM($D$19:$D$22)*'F.Params&amp;Assumptions(UserInput)'!G119</f>
        <v>0.37128915115751254</v>
      </c>
      <c r="E34" s="163">
        <f>SUM($E$19:$E$22)*'F.Params&amp;Assumptions(UserInput)'!H119</f>
        <v>54.347707671357256</v>
      </c>
      <c r="F34" s="163">
        <f>SUM($F$19:$F$22)*'F.Params&amp;Assumptions(UserInput)'!I119</f>
        <v>93.800995823876562</v>
      </c>
      <c r="G34" s="47">
        <f t="shared" si="2"/>
        <v>162.2003376305039</v>
      </c>
      <c r="H34" s="48">
        <f t="shared" si="1"/>
        <v>121.37995898911612</v>
      </c>
      <c r="I34" s="6"/>
      <c r="J34" s="6"/>
      <c r="K34" s="6"/>
      <c r="L34" s="6"/>
      <c r="M34" s="6"/>
      <c r="N34" s="6"/>
      <c r="O34" s="1"/>
      <c r="P34" s="1"/>
      <c r="Q34" s="1"/>
      <c r="R34" s="1"/>
      <c r="S34" s="1"/>
      <c r="T34" s="1"/>
      <c r="U34" s="1"/>
    </row>
    <row r="35" spans="1:21" x14ac:dyDescent="0.35">
      <c r="A35" s="1">
        <f t="shared" si="3"/>
        <v>2035</v>
      </c>
      <c r="B35" s="46">
        <f t="shared" si="4"/>
        <v>8</v>
      </c>
      <c r="C35" s="163">
        <f>SUM($C$19:$C$22)*'F.Params&amp;Assumptions(UserInput)'!F120</f>
        <v>13.680344984112576</v>
      </c>
      <c r="D35" s="163">
        <f>SUM($D$19:$D$22)*'F.Params&amp;Assumptions(UserInput)'!G120</f>
        <v>0.37128915115751254</v>
      </c>
      <c r="E35" s="163">
        <f>SUM($E$19:$E$22)*'F.Params&amp;Assumptions(UserInput)'!H120</f>
        <v>54.347707671357256</v>
      </c>
      <c r="F35" s="163">
        <f>SUM($F$19:$F$22)*'F.Params&amp;Assumptions(UserInput)'!I120</f>
        <v>95.170353427144832</v>
      </c>
      <c r="G35" s="47">
        <f t="shared" si="2"/>
        <v>163.56969523377217</v>
      </c>
      <c r="H35" s="48">
        <f t="shared" si="1"/>
        <v>119.56251763246559</v>
      </c>
      <c r="I35" s="6"/>
      <c r="J35" s="6"/>
      <c r="K35" s="6"/>
      <c r="L35" s="6"/>
      <c r="M35" s="6"/>
      <c r="N35" s="6"/>
      <c r="O35" s="1"/>
      <c r="P35" s="1"/>
      <c r="Q35" s="1"/>
      <c r="R35" s="1"/>
      <c r="S35" s="1"/>
      <c r="T35" s="1"/>
      <c r="U35" s="1"/>
    </row>
    <row r="36" spans="1:21" x14ac:dyDescent="0.35">
      <c r="A36" s="1">
        <f t="shared" si="3"/>
        <v>2036</v>
      </c>
      <c r="B36" s="46">
        <f t="shared" si="4"/>
        <v>9</v>
      </c>
      <c r="C36" s="163">
        <f>SUM($C$19:$C$22)*'F.Params&amp;Assumptions(UserInput)'!F121</f>
        <v>13.680344984112576</v>
      </c>
      <c r="D36" s="163">
        <f>SUM($D$19:$D$22)*'F.Params&amp;Assumptions(UserInput)'!G121</f>
        <v>0.37128915115751254</v>
      </c>
      <c r="E36" s="163">
        <f>SUM($E$19:$E$22)*'F.Params&amp;Assumptions(UserInput)'!H121</f>
        <v>54.347707671357256</v>
      </c>
      <c r="F36" s="163">
        <f>SUM($F$19:$F$22)*'F.Params&amp;Assumptions(UserInput)'!I121</f>
        <v>96.539711030413116</v>
      </c>
      <c r="G36" s="47">
        <f t="shared" si="2"/>
        <v>164.93905283704046</v>
      </c>
      <c r="H36" s="48">
        <f t="shared" si="1"/>
        <v>117.77487002215111</v>
      </c>
      <c r="I36" s="6"/>
      <c r="J36" s="6"/>
      <c r="K36" s="6"/>
      <c r="L36" s="6"/>
      <c r="M36" s="6"/>
      <c r="N36" s="6"/>
      <c r="O36" s="1"/>
      <c r="P36" s="1"/>
      <c r="Q36" s="1"/>
      <c r="R36" s="1"/>
      <c r="S36" s="1"/>
      <c r="T36" s="1"/>
      <c r="U36" s="1"/>
    </row>
    <row r="37" spans="1:21" x14ac:dyDescent="0.35">
      <c r="A37" s="1">
        <f t="shared" si="3"/>
        <v>2037</v>
      </c>
      <c r="B37" s="46">
        <f t="shared" si="4"/>
        <v>10</v>
      </c>
      <c r="C37" s="163">
        <f>SUM($C$19:$C$22)*'F.Params&amp;Assumptions(UserInput)'!F122</f>
        <v>13.680344984112576</v>
      </c>
      <c r="D37" s="163">
        <f>SUM($D$19:$D$22)*'F.Params&amp;Assumptions(UserInput)'!G122</f>
        <v>0.37128915115751254</v>
      </c>
      <c r="E37" s="163">
        <f>SUM($E$19:$E$22)*'F.Params&amp;Assumptions(UserInput)'!H122</f>
        <v>54.347707671357256</v>
      </c>
      <c r="F37" s="163">
        <f>SUM($F$19:$F$22)*'F.Params&amp;Assumptions(UserInput)'!I122</f>
        <v>98.251408034498454</v>
      </c>
      <c r="G37" s="47">
        <f>SUM(C37:F37)</f>
        <v>166.65074984112579</v>
      </c>
      <c r="H37" s="48">
        <f t="shared" si="1"/>
        <v>116.27075374271502</v>
      </c>
      <c r="I37" s="6"/>
      <c r="J37" s="6"/>
      <c r="K37" s="6"/>
      <c r="L37" s="6"/>
      <c r="M37" s="6"/>
      <c r="N37" s="6"/>
      <c r="O37" s="1"/>
      <c r="P37" s="1"/>
      <c r="Q37" s="1"/>
      <c r="R37" s="1"/>
      <c r="S37" s="1"/>
      <c r="T37" s="1"/>
      <c r="U37" s="1"/>
    </row>
    <row r="38" spans="1:21" x14ac:dyDescent="0.35">
      <c r="I38" s="6"/>
      <c r="J38" s="6"/>
      <c r="K38" s="6"/>
      <c r="L38" s="6"/>
    </row>
    <row r="39" spans="1:21" s="1" customFormat="1" ht="13" x14ac:dyDescent="0.25">
      <c r="B39" s="56" t="s">
        <v>71</v>
      </c>
      <c r="C39" s="57"/>
      <c r="D39" s="57"/>
      <c r="E39" s="57"/>
      <c r="F39" s="57"/>
      <c r="G39" s="57"/>
      <c r="H39" s="59">
        <f>SUM(H28:H37)</f>
        <v>1239.3591425575339</v>
      </c>
      <c r="J39" s="6"/>
      <c r="K39" s="6"/>
      <c r="L39" s="6"/>
      <c r="M39" s="6"/>
      <c r="N39" s="6"/>
      <c r="P39" s="3"/>
      <c r="Q39" s="6"/>
      <c r="R39" s="6"/>
    </row>
    <row r="40" spans="1:21" x14ac:dyDescent="0.35">
      <c r="B40" t="s">
        <v>368</v>
      </c>
    </row>
  </sheetData>
  <mergeCells count="5">
    <mergeCell ref="A26:A27"/>
    <mergeCell ref="B14:M14"/>
    <mergeCell ref="B8:M8"/>
    <mergeCell ref="B10:M10"/>
    <mergeCell ref="B12:M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DA3A-7141-4B37-9029-876C1F611270}">
  <sheetPr>
    <tabColor rgb="FF002060"/>
  </sheetPr>
  <dimension ref="A1:Z77"/>
  <sheetViews>
    <sheetView zoomScale="130" zoomScaleNormal="130" workbookViewId="0">
      <selection activeCell="A5" sqref="A5:XFD5"/>
    </sheetView>
  </sheetViews>
  <sheetFormatPr defaultRowHeight="14.5" x14ac:dyDescent="0.35"/>
  <cols>
    <col min="1" max="1" width="12.54296875" bestFit="1" customWidth="1"/>
    <col min="2" max="2" width="28.7265625" customWidth="1"/>
    <col min="3" max="3" width="13.7265625" bestFit="1" customWidth="1"/>
    <col min="4" max="4" width="13.7265625" customWidth="1"/>
    <col min="5" max="5" width="16" customWidth="1"/>
    <col min="6" max="6" width="14.7265625" customWidth="1"/>
    <col min="7" max="7" width="25.1796875" customWidth="1"/>
    <col min="8" max="8" width="16.453125" bestFit="1" customWidth="1"/>
    <col min="9" max="9" width="14.54296875" bestFit="1" customWidth="1"/>
    <col min="10" max="10" width="18.81640625" customWidth="1"/>
    <col min="11" max="11" width="17.453125" customWidth="1"/>
    <col min="12" max="12" width="15.453125" customWidth="1"/>
    <col min="13" max="13" width="100.26953125" customWidth="1"/>
  </cols>
  <sheetData>
    <row r="1" spans="1:21" s="1" customFormat="1" ht="20" x14ac:dyDescent="0.4">
      <c r="B1" s="2" t="s">
        <v>369</v>
      </c>
      <c r="C1" s="3"/>
      <c r="D1" s="4"/>
      <c r="E1" s="4"/>
      <c r="F1" s="5"/>
      <c r="G1" s="6"/>
      <c r="H1" s="6"/>
      <c r="J1" s="6"/>
      <c r="K1" s="6"/>
      <c r="L1" s="6"/>
      <c r="N1" s="2"/>
      <c r="O1" s="3"/>
      <c r="P1" s="4"/>
    </row>
    <row r="2" spans="1:21" s="1" customFormat="1" ht="12.5" x14ac:dyDescent="0.25">
      <c r="B2" s="3"/>
      <c r="C2" s="3"/>
      <c r="D2" s="4"/>
      <c r="E2" s="4"/>
      <c r="F2" s="4"/>
      <c r="G2" s="6"/>
      <c r="H2" s="6"/>
      <c r="J2" s="6"/>
      <c r="K2" s="6"/>
      <c r="L2" s="6"/>
      <c r="N2" s="3"/>
      <c r="O2" s="3"/>
      <c r="P2" s="4"/>
    </row>
    <row r="3" spans="1:21" s="1" customFormat="1" ht="17.5" x14ac:dyDescent="0.25">
      <c r="B3" s="7" t="s">
        <v>370</v>
      </c>
      <c r="D3" s="8"/>
      <c r="E3" s="8"/>
      <c r="F3" s="8"/>
      <c r="G3" s="9"/>
      <c r="H3" s="8"/>
      <c r="I3" s="9"/>
      <c r="J3" s="9"/>
      <c r="K3" s="8"/>
      <c r="L3" s="8"/>
      <c r="N3" s="7"/>
      <c r="P3" s="8"/>
    </row>
    <row r="4" spans="1:21" ht="17.5" x14ac:dyDescent="0.35">
      <c r="B4" s="7" t="s">
        <v>43</v>
      </c>
    </row>
    <row r="5" spans="1:21" ht="17.5" x14ac:dyDescent="0.35">
      <c r="A5" s="1"/>
      <c r="B5" s="15" t="s">
        <v>371</v>
      </c>
      <c r="C5" s="3"/>
      <c r="D5" s="4"/>
      <c r="E5" s="4"/>
      <c r="F5" s="4"/>
      <c r="G5" s="6"/>
      <c r="H5" s="6"/>
      <c r="I5" s="6"/>
      <c r="J5" s="6"/>
      <c r="K5" s="6"/>
      <c r="L5" s="6"/>
      <c r="M5" s="6"/>
      <c r="N5" s="1"/>
      <c r="O5" s="3"/>
      <c r="P5" s="3"/>
      <c r="Q5" s="6"/>
      <c r="R5" s="6"/>
      <c r="S5" s="1"/>
      <c r="T5" s="1"/>
      <c r="U5" s="1"/>
    </row>
    <row r="6" spans="1:21" ht="17.5" x14ac:dyDescent="0.35">
      <c r="B6" s="7"/>
    </row>
    <row r="7" spans="1:21" s="1" customFormat="1" ht="17.5" x14ac:dyDescent="0.25">
      <c r="B7" s="10" t="s">
        <v>298</v>
      </c>
      <c r="C7" s="11"/>
      <c r="D7" s="12"/>
      <c r="E7" s="12"/>
      <c r="F7" s="12"/>
      <c r="G7" s="13"/>
      <c r="H7" s="13"/>
      <c r="I7" s="12"/>
      <c r="J7" s="13"/>
      <c r="K7" s="12"/>
      <c r="L7" s="12"/>
      <c r="M7" s="14"/>
      <c r="O7" s="15"/>
      <c r="Q7" s="8"/>
    </row>
    <row r="8" spans="1:21" s="1" customFormat="1" ht="15" customHeight="1" x14ac:dyDescent="0.25">
      <c r="B8" s="502" t="s">
        <v>372</v>
      </c>
      <c r="C8" s="503"/>
      <c r="D8" s="503"/>
      <c r="E8" s="503"/>
      <c r="F8" s="503"/>
      <c r="G8" s="503"/>
      <c r="H8" s="503"/>
      <c r="I8" s="503"/>
      <c r="J8" s="503"/>
      <c r="K8" s="503"/>
      <c r="L8" s="503"/>
      <c r="M8" s="504"/>
      <c r="O8" s="17"/>
      <c r="Q8" s="8"/>
    </row>
    <row r="9" spans="1:21" s="1" customFormat="1" ht="12.5" x14ac:dyDescent="0.25">
      <c r="B9" s="18"/>
      <c r="C9" s="169"/>
      <c r="D9" s="19"/>
      <c r="E9" s="20"/>
      <c r="F9" s="170"/>
      <c r="G9" s="168"/>
      <c r="H9" s="168"/>
      <c r="I9" s="168"/>
      <c r="J9" s="168"/>
      <c r="K9" s="168"/>
      <c r="L9" s="168"/>
      <c r="M9" s="16"/>
      <c r="O9" s="21"/>
      <c r="P9" s="8"/>
      <c r="Q9" s="8"/>
    </row>
    <row r="10" spans="1:21" s="1" customFormat="1" ht="12.5" x14ac:dyDescent="0.25">
      <c r="B10" s="502" t="s">
        <v>373</v>
      </c>
      <c r="C10" s="503"/>
      <c r="D10" s="503"/>
      <c r="E10" s="503"/>
      <c r="F10" s="503"/>
      <c r="G10" s="503"/>
      <c r="H10" s="503"/>
      <c r="I10" s="503"/>
      <c r="J10" s="503"/>
      <c r="K10" s="503"/>
      <c r="L10" s="503"/>
      <c r="M10" s="504"/>
      <c r="O10" s="22"/>
      <c r="Q10" s="8"/>
    </row>
    <row r="11" spans="1:21" s="1" customFormat="1" ht="12.5" x14ac:dyDescent="0.25">
      <c r="B11" s="18"/>
      <c r="C11" s="169"/>
      <c r="D11" s="19"/>
      <c r="E11" s="20"/>
      <c r="F11" s="170"/>
      <c r="G11" s="168"/>
      <c r="H11" s="168"/>
      <c r="I11" s="168"/>
      <c r="J11" s="168"/>
      <c r="K11" s="168"/>
      <c r="L11" s="168"/>
      <c r="M11" s="16"/>
      <c r="O11" s="21"/>
      <c r="P11" s="8"/>
      <c r="Q11" s="8"/>
    </row>
    <row r="12" spans="1:21" s="1" customFormat="1" ht="29.25" customHeight="1" x14ac:dyDescent="0.25">
      <c r="B12" s="508" t="s">
        <v>374</v>
      </c>
      <c r="C12" s="509"/>
      <c r="D12" s="509"/>
      <c r="E12" s="509"/>
      <c r="F12" s="509"/>
      <c r="G12" s="509"/>
      <c r="H12" s="509"/>
      <c r="I12" s="509"/>
      <c r="J12" s="509"/>
      <c r="K12" s="509"/>
      <c r="L12" s="509"/>
      <c r="M12" s="510"/>
      <c r="O12" s="22"/>
      <c r="Q12" s="8"/>
    </row>
    <row r="13" spans="1:21" s="1" customFormat="1" x14ac:dyDescent="0.35">
      <c r="B13" s="18"/>
      <c r="C13" s="169"/>
      <c r="D13" s="19"/>
      <c r="E13" s="20"/>
      <c r="F13" s="170"/>
      <c r="G13" s="168"/>
      <c r="H13" s="168"/>
      <c r="I13" s="168"/>
      <c r="J13" s="168"/>
      <c r="K13" s="168"/>
      <c r="L13" s="168"/>
      <c r="M13" s="16"/>
      <c r="O13" s="21"/>
      <c r="P13"/>
      <c r="Q13"/>
      <c r="R13"/>
    </row>
    <row r="14" spans="1:21" s="1" customFormat="1" ht="26.25" customHeight="1" x14ac:dyDescent="0.35">
      <c r="B14" s="508" t="s">
        <v>375</v>
      </c>
      <c r="C14" s="509"/>
      <c r="D14" s="509"/>
      <c r="E14" s="509"/>
      <c r="F14" s="509"/>
      <c r="G14" s="509"/>
      <c r="H14" s="509"/>
      <c r="I14" s="509"/>
      <c r="J14" s="509"/>
      <c r="K14" s="509"/>
      <c r="L14" s="509"/>
      <c r="M14" s="510"/>
      <c r="O14" s="22"/>
      <c r="P14"/>
      <c r="Q14"/>
      <c r="R14"/>
    </row>
    <row r="15" spans="1:21" s="1" customFormat="1" x14ac:dyDescent="0.35">
      <c r="B15" s="18"/>
      <c r="C15" s="169"/>
      <c r="D15" s="19"/>
      <c r="E15" s="20"/>
      <c r="F15" s="170"/>
      <c r="G15" s="168"/>
      <c r="H15" s="168"/>
      <c r="I15" s="168"/>
      <c r="J15" s="168"/>
      <c r="K15" s="168"/>
      <c r="L15" s="168"/>
      <c r="M15" s="16"/>
      <c r="O15" s="21"/>
      <c r="P15"/>
      <c r="Q15"/>
      <c r="R15"/>
    </row>
    <row r="16" spans="1:21" s="1" customFormat="1" x14ac:dyDescent="0.35">
      <c r="B16" s="508" t="s">
        <v>376</v>
      </c>
      <c r="C16" s="509"/>
      <c r="D16" s="509"/>
      <c r="E16" s="509"/>
      <c r="F16" s="509"/>
      <c r="G16" s="509"/>
      <c r="H16" s="509"/>
      <c r="I16" s="509"/>
      <c r="J16" s="509"/>
      <c r="K16" s="509"/>
      <c r="L16" s="509"/>
      <c r="M16" s="510"/>
      <c r="O16" s="22"/>
      <c r="P16"/>
      <c r="Q16"/>
      <c r="R16"/>
    </row>
    <row r="17" spans="1:18" s="1" customFormat="1" x14ac:dyDescent="0.35">
      <c r="B17" s="18"/>
      <c r="C17" s="169"/>
      <c r="D17" s="19"/>
      <c r="E17" s="20"/>
      <c r="F17" s="170"/>
      <c r="G17" s="168"/>
      <c r="H17" s="168"/>
      <c r="I17" s="168"/>
      <c r="J17" s="168"/>
      <c r="K17" s="168"/>
      <c r="L17" s="168"/>
      <c r="M17" s="16"/>
      <c r="O17" s="21"/>
      <c r="P17"/>
      <c r="Q17"/>
      <c r="R17"/>
    </row>
    <row r="18" spans="1:18" s="1" customFormat="1" ht="29.25" customHeight="1" x14ac:dyDescent="0.35">
      <c r="B18" s="508" t="s">
        <v>377</v>
      </c>
      <c r="C18" s="509"/>
      <c r="D18" s="509"/>
      <c r="E18" s="509"/>
      <c r="F18" s="509"/>
      <c r="G18" s="509"/>
      <c r="H18" s="509"/>
      <c r="I18" s="509"/>
      <c r="J18" s="509"/>
      <c r="K18" s="509"/>
      <c r="L18" s="509"/>
      <c r="M18" s="510"/>
      <c r="O18" s="22"/>
      <c r="P18"/>
      <c r="Q18"/>
      <c r="R18"/>
    </row>
    <row r="19" spans="1:18" s="1" customFormat="1" x14ac:dyDescent="0.35">
      <c r="B19" s="171"/>
      <c r="C19" s="85"/>
      <c r="D19" s="172"/>
      <c r="E19" s="172"/>
      <c r="F19" s="173"/>
      <c r="G19" s="174"/>
      <c r="H19" s="174"/>
      <c r="I19" s="174"/>
      <c r="J19" s="174"/>
      <c r="K19" s="174"/>
      <c r="L19" s="174"/>
      <c r="M19" s="175"/>
      <c r="O19" s="8"/>
      <c r="P19"/>
      <c r="Q19"/>
      <c r="R19"/>
    </row>
    <row r="20" spans="1:18" s="1" customFormat="1" ht="12.5" x14ac:dyDescent="0.25">
      <c r="A20" s="24"/>
      <c r="B20" s="8"/>
      <c r="C20" s="24"/>
      <c r="D20" s="25"/>
      <c r="E20" s="25"/>
      <c r="F20" s="25"/>
      <c r="G20" s="24"/>
      <c r="I20" s="8"/>
      <c r="J20" s="24"/>
      <c r="N20" s="8"/>
      <c r="O20" s="24"/>
      <c r="P20" s="25"/>
    </row>
    <row r="21" spans="1:18" s="1" customFormat="1" ht="17.5" x14ac:dyDescent="0.25">
      <c r="A21" s="24"/>
      <c r="B21" s="161" t="s">
        <v>378</v>
      </c>
      <c r="C21" s="24"/>
      <c r="D21" s="25"/>
      <c r="E21" s="25"/>
      <c r="F21" s="25"/>
      <c r="G21" s="24"/>
      <c r="I21" s="8"/>
      <c r="J21" s="24"/>
      <c r="N21" s="8"/>
      <c r="O21" s="24"/>
      <c r="P21" s="25"/>
    </row>
    <row r="22" spans="1:18" s="1" customFormat="1" ht="18" customHeight="1" x14ac:dyDescent="0.25">
      <c r="A22" s="24"/>
      <c r="B22" s="154" t="s">
        <v>379</v>
      </c>
      <c r="C22" s="183">
        <f>(SpacesUrbanCorridor+SpacesRural)*UtilizationCorridor*PeakPeriods*MileSavedPerSpace</f>
        <v>50.300000000000004</v>
      </c>
      <c r="D22" s="8"/>
      <c r="E22" s="8"/>
      <c r="F22" s="8"/>
      <c r="G22" s="8"/>
      <c r="I22" s="8"/>
      <c r="J22" s="24"/>
      <c r="N22" s="8"/>
      <c r="O22" s="24"/>
      <c r="P22" s="25"/>
    </row>
    <row r="23" spans="1:18" x14ac:dyDescent="0.35">
      <c r="F23" s="8"/>
      <c r="G23" s="8"/>
    </row>
    <row r="24" spans="1:18" s="1" customFormat="1" ht="12.5" x14ac:dyDescent="0.25">
      <c r="A24" s="24"/>
      <c r="B24" s="8"/>
      <c r="C24" s="24"/>
      <c r="D24" s="25"/>
      <c r="E24" s="25"/>
      <c r="F24" s="25"/>
      <c r="G24" s="24"/>
      <c r="I24" s="8"/>
      <c r="J24" s="24"/>
      <c r="N24" s="8"/>
      <c r="O24" s="24"/>
      <c r="P24" s="25"/>
    </row>
    <row r="25" spans="1:18" s="1" customFormat="1" ht="17.5" x14ac:dyDescent="0.25">
      <c r="A25" s="24"/>
      <c r="B25" s="161" t="s">
        <v>380</v>
      </c>
      <c r="C25" s="24"/>
      <c r="D25" s="25"/>
      <c r="E25" s="25"/>
      <c r="F25" s="25"/>
      <c r="G25" s="24"/>
      <c r="I25" s="8"/>
      <c r="J25" s="24"/>
      <c r="N25" s="8"/>
      <c r="O25" s="24"/>
      <c r="P25" s="25"/>
    </row>
    <row r="26" spans="1:18" s="1" customFormat="1" ht="18" customHeight="1" x14ac:dyDescent="0.25">
      <c r="A26" s="24"/>
      <c r="B26" s="154" t="s">
        <v>379</v>
      </c>
      <c r="C26" s="183">
        <f>C22*HeavyDemandDays</f>
        <v>10462.400000000001</v>
      </c>
      <c r="D26" s="8"/>
      <c r="E26" s="8"/>
      <c r="F26" s="8"/>
      <c r="G26" s="8"/>
      <c r="I26" s="8"/>
      <c r="J26" s="24"/>
      <c r="N26" s="8"/>
      <c r="O26" s="24"/>
      <c r="P26" s="25"/>
    </row>
    <row r="27" spans="1:18" x14ac:dyDescent="0.35">
      <c r="D27" s="8"/>
      <c r="E27" s="8"/>
      <c r="F27" s="8"/>
      <c r="G27" s="8"/>
    </row>
    <row r="28" spans="1:18" s="1" customFormat="1" ht="12.5" x14ac:dyDescent="0.25">
      <c r="A28" s="24"/>
      <c r="B28" s="8"/>
      <c r="C28" s="24"/>
      <c r="D28" s="25"/>
      <c r="E28" s="25"/>
      <c r="F28" s="25"/>
      <c r="G28" s="24"/>
      <c r="I28" s="8"/>
      <c r="J28" s="24"/>
      <c r="N28" s="8"/>
      <c r="O28" s="24"/>
      <c r="P28" s="25"/>
    </row>
    <row r="29" spans="1:18" s="1" customFormat="1" ht="25.15" customHeight="1" x14ac:dyDescent="0.25">
      <c r="A29" s="24"/>
      <c r="B29" s="161" t="s">
        <v>381</v>
      </c>
      <c r="C29" s="24"/>
      <c r="D29" s="25"/>
      <c r="E29" s="25"/>
      <c r="F29" s="25"/>
      <c r="N29" s="8"/>
      <c r="O29" s="24"/>
      <c r="P29" s="25"/>
    </row>
    <row r="30" spans="1:18" s="1" customFormat="1" x14ac:dyDescent="0.35">
      <c r="A30" s="24"/>
      <c r="B30" s="177" t="s">
        <v>56</v>
      </c>
      <c r="C30" s="176" t="s">
        <v>382</v>
      </c>
      <c r="D30"/>
      <c r="E30"/>
      <c r="F30"/>
      <c r="G30"/>
      <c r="N30" s="8"/>
      <c r="O30" s="24"/>
      <c r="P30" s="25"/>
    </row>
    <row r="31" spans="1:18" s="1" customFormat="1" ht="18" customHeight="1" x14ac:dyDescent="0.35">
      <c r="A31" s="24"/>
      <c r="B31" s="154">
        <v>1</v>
      </c>
      <c r="C31" s="183">
        <f>C26</f>
        <v>10462.400000000001</v>
      </c>
      <c r="D31"/>
      <c r="E31"/>
      <c r="F31"/>
      <c r="G31"/>
      <c r="N31" s="8"/>
      <c r="O31" s="24"/>
      <c r="P31" s="25"/>
    </row>
    <row r="32" spans="1:18" s="1" customFormat="1" ht="18" customHeight="1" x14ac:dyDescent="0.35">
      <c r="A32" s="24"/>
      <c r="B32" s="154">
        <v>2</v>
      </c>
      <c r="C32" s="183">
        <f>C31*(1+ParkingDemandGrowthRate)*(1+'3. Travel Time Savings_B'!O32)</f>
        <v>10664.115072000001</v>
      </c>
      <c r="D32"/>
      <c r="E32"/>
      <c r="F32"/>
      <c r="G32"/>
      <c r="N32" s="8"/>
      <c r="O32" s="24"/>
      <c r="P32" s="25"/>
    </row>
    <row r="33" spans="1:16" s="1" customFormat="1" ht="18" customHeight="1" x14ac:dyDescent="0.35">
      <c r="A33" s="24"/>
      <c r="B33" s="154">
        <v>3</v>
      </c>
      <c r="C33" s="183">
        <f>C32*(1+ParkingDemandGrowthRate)*(1+'3. Travel Time Savings_B'!O33)</f>
        <v>10869.71921058816</v>
      </c>
      <c r="D33"/>
      <c r="E33"/>
      <c r="F33"/>
      <c r="G33"/>
      <c r="N33" s="8"/>
      <c r="O33" s="24"/>
      <c r="P33" s="25"/>
    </row>
    <row r="34" spans="1:16" s="1" customFormat="1" ht="17.5" customHeight="1" x14ac:dyDescent="0.35">
      <c r="A34" s="24"/>
      <c r="B34" s="154">
        <v>4</v>
      </c>
      <c r="C34" s="183">
        <f>C33*(1+ParkingDemandGrowthRate)*(1+'3. Travel Time Savings_B'!O34)</f>
        <v>11079.287396968301</v>
      </c>
      <c r="D34"/>
      <c r="E34"/>
      <c r="F34"/>
      <c r="G34"/>
      <c r="N34" s="8"/>
      <c r="O34" s="24"/>
      <c r="P34" s="25"/>
    </row>
    <row r="35" spans="1:16" s="1" customFormat="1" ht="17.5" customHeight="1" x14ac:dyDescent="0.35">
      <c r="A35" s="24"/>
      <c r="B35" s="154">
        <v>5</v>
      </c>
      <c r="C35" s="183">
        <f>C34*(1+ParkingDemandGrowthRate)*(1+'3. Travel Time Savings_B'!O35)</f>
        <v>11292.896057981849</v>
      </c>
      <c r="D35"/>
      <c r="E35"/>
      <c r="F35"/>
      <c r="G35"/>
      <c r="N35" s="8"/>
      <c r="O35" s="24"/>
      <c r="P35" s="25"/>
    </row>
    <row r="36" spans="1:16" s="1" customFormat="1" ht="17.5" customHeight="1" x14ac:dyDescent="0.35">
      <c r="A36" s="24"/>
      <c r="B36" s="154">
        <v>6</v>
      </c>
      <c r="C36" s="183">
        <f>C35*(1+ParkingDemandGrowthRate)*(1+'3. Travel Time Savings_B'!O36)</f>
        <v>11510.623093979739</v>
      </c>
      <c r="D36"/>
      <c r="E36"/>
      <c r="F36"/>
      <c r="G36"/>
      <c r="N36" s="8"/>
      <c r="O36" s="24"/>
      <c r="P36" s="25"/>
    </row>
    <row r="37" spans="1:16" x14ac:dyDescent="0.35">
      <c r="B37" s="154">
        <v>7</v>
      </c>
      <c r="C37" s="183">
        <f>C36*(1+ParkingDemandGrowthRate)*(1+'3. Travel Time Savings_B'!O37)</f>
        <v>11732.547907231668</v>
      </c>
    </row>
    <row r="38" spans="1:16" s="1" customFormat="1" ht="17.5" customHeight="1" x14ac:dyDescent="0.35">
      <c r="A38" s="24"/>
      <c r="B38" s="154">
        <v>8</v>
      </c>
      <c r="C38" s="183">
        <f>C37*(1+ParkingDemandGrowthRate)*(1+'3. Travel Time Savings_B'!O38)</f>
        <v>11958.751430883094</v>
      </c>
      <c r="D38"/>
      <c r="E38"/>
      <c r="F38"/>
      <c r="G38"/>
      <c r="N38" s="8"/>
      <c r="O38" s="24"/>
      <c r="P38" s="25"/>
    </row>
    <row r="39" spans="1:16" s="1" customFormat="1" ht="17.5" customHeight="1" x14ac:dyDescent="0.35">
      <c r="A39" s="24"/>
      <c r="B39" s="154">
        <v>9</v>
      </c>
      <c r="C39" s="183">
        <f>C38*(1+ParkingDemandGrowthRate)*(1+'3. Travel Time Savings_B'!O39)</f>
        <v>12189.316158470519</v>
      </c>
      <c r="D39"/>
      <c r="E39"/>
      <c r="F39"/>
      <c r="G39"/>
      <c r="N39" s="8"/>
      <c r="O39" s="24"/>
      <c r="P39" s="25"/>
    </row>
    <row r="40" spans="1:16" x14ac:dyDescent="0.35">
      <c r="B40" s="154">
        <v>10</v>
      </c>
      <c r="C40" s="183">
        <f>C39*(1+ParkingDemandGrowthRate)*(1+'3. Travel Time Savings_B'!O40)</f>
        <v>12424.326174005831</v>
      </c>
    </row>
    <row r="41" spans="1:16" x14ac:dyDescent="0.35">
      <c r="B41" s="3"/>
      <c r="C41" s="255"/>
      <c r="D41" s="255"/>
      <c r="E41" s="255"/>
      <c r="F41" s="256"/>
      <c r="G41" s="8"/>
      <c r="H41" s="3"/>
      <c r="I41" s="257"/>
      <c r="J41" s="257"/>
      <c r="K41" s="257"/>
      <c r="L41" s="257"/>
    </row>
    <row r="42" spans="1:16" x14ac:dyDescent="0.35">
      <c r="F42" s="8"/>
      <c r="G42" s="8"/>
      <c r="I42" s="213"/>
    </row>
    <row r="43" spans="1:16" ht="17.5" x14ac:dyDescent="0.35">
      <c r="A43" s="24"/>
      <c r="B43" s="161" t="s">
        <v>383</v>
      </c>
      <c r="C43" s="1"/>
      <c r="D43" s="24"/>
      <c r="E43" s="25"/>
      <c r="F43" s="25"/>
      <c r="G43" s="8"/>
      <c r="H43" s="3"/>
      <c r="I43" s="257"/>
      <c r="J43" s="257"/>
      <c r="K43" s="257"/>
      <c r="L43" s="257"/>
    </row>
    <row r="44" spans="1:16" x14ac:dyDescent="0.35">
      <c r="A44" s="1" t="s">
        <v>305</v>
      </c>
      <c r="B44" s="177" t="s">
        <v>56</v>
      </c>
      <c r="C44" s="176" t="s">
        <v>242</v>
      </c>
      <c r="D44" s="176" t="s">
        <v>247</v>
      </c>
      <c r="E44" s="176" t="s">
        <v>244</v>
      </c>
      <c r="F44" s="176" t="s">
        <v>245</v>
      </c>
      <c r="G44" s="8"/>
      <c r="I44" s="213"/>
    </row>
    <row r="45" spans="1:16" x14ac:dyDescent="0.35">
      <c r="A45" s="1">
        <f>'F.Params&amp;Assumptions(UserInput)'!F16</f>
        <v>2028</v>
      </c>
      <c r="B45" s="154">
        <v>1</v>
      </c>
      <c r="C45" s="212">
        <f>C31*'F.Params&amp;Assumptions(UserInput)'!F88*Gram_Ton</f>
        <v>1.1101491140175319E-2</v>
      </c>
      <c r="D45" s="212">
        <f>C31*'F.Params&amp;Assumptions(UserInput)'!G88*Gram_Ton</f>
        <v>9.7798301338756561E-5</v>
      </c>
      <c r="E45" s="212">
        <f>C31*'F.Params&amp;Assumptions(UserInput)'!H88*Gram_Ton</f>
        <v>1.0494864884229658E-4</v>
      </c>
      <c r="F45" s="212">
        <f>C31*'F.Params&amp;Assumptions(UserInput)'!I88*Gram_Ton</f>
        <v>10.524454175481301</v>
      </c>
      <c r="G45" s="8"/>
      <c r="H45" s="3"/>
      <c r="I45" s="257"/>
      <c r="J45" s="257"/>
      <c r="K45" s="257"/>
      <c r="L45" s="257"/>
    </row>
    <row r="46" spans="1:16" x14ac:dyDescent="0.35">
      <c r="A46" s="1">
        <f>A45+1</f>
        <v>2029</v>
      </c>
      <c r="B46" s="154">
        <v>2</v>
      </c>
      <c r="C46" s="212">
        <f>C32*'F.Params&amp;Assumptions(UserInput)'!F89*Gram_Ton</f>
        <v>1.0871770172940599E-2</v>
      </c>
      <c r="D46" s="212">
        <f>C32*'F.Params&amp;Assumptions(UserInput)'!G89*Gram_Ton</f>
        <v>9.7567921755319732E-5</v>
      </c>
      <c r="E46" s="212">
        <f>C32*'F.Params&amp;Assumptions(UserInput)'!H89*Gram_Ton</f>
        <v>1.0315162812083506E-4</v>
      </c>
      <c r="F46" s="212">
        <f>C32*'F.Params&amp;Assumptions(UserInput)'!I89*Gram_Ton</f>
        <v>10.502579034604196</v>
      </c>
      <c r="G46" s="8"/>
      <c r="I46" s="213"/>
    </row>
    <row r="47" spans="1:16" x14ac:dyDescent="0.35">
      <c r="A47" s="1">
        <f t="shared" ref="A47:A54" si="0">A46+1</f>
        <v>2030</v>
      </c>
      <c r="B47" s="154">
        <v>3</v>
      </c>
      <c r="C47" s="212">
        <f>C33*'F.Params&amp;Assumptions(UserInput)'!F90*Gram_Ton</f>
        <v>1.0629064536685237E-2</v>
      </c>
      <c r="D47" s="212">
        <f>C33*'F.Params&amp;Assumptions(UserInput)'!G90*Gram_Ton</f>
        <v>9.7292305307049867E-5</v>
      </c>
      <c r="E47" s="212">
        <f>C33*'F.Params&amp;Assumptions(UserInput)'!H90*Gram_Ton</f>
        <v>1.0124630293652286E-4</v>
      </c>
      <c r="F47" s="212">
        <f>C33*'F.Params&amp;Assumptions(UserInput)'!I90*Gram_Ton</f>
        <v>10.475948255027888</v>
      </c>
      <c r="G47" s="8"/>
      <c r="H47" s="3"/>
      <c r="I47" s="257"/>
      <c r="J47" s="257"/>
      <c r="K47" s="257"/>
      <c r="L47" s="257"/>
    </row>
    <row r="48" spans="1:16" x14ac:dyDescent="0.35">
      <c r="A48" s="1">
        <f t="shared" si="0"/>
        <v>2031</v>
      </c>
      <c r="B48" s="154">
        <v>4</v>
      </c>
      <c r="C48" s="212">
        <f>C34*'F.Params&amp;Assumptions(UserInput)'!F91*Gram_Ton</f>
        <v>1.0372958934081845E-2</v>
      </c>
      <c r="D48" s="212">
        <f>C34*'F.Params&amp;Assumptions(UserInput)'!G91*Gram_Ton</f>
        <v>9.6969793296767834E-5</v>
      </c>
      <c r="E48" s="212">
        <f>C34*'F.Params&amp;Assumptions(UserInput)'!H91*Gram_Ton</f>
        <v>9.9229165054941104E-5</v>
      </c>
      <c r="F48" s="212">
        <f>C34*'F.Params&amp;Assumptions(UserInput)'!I91*Gram_Ton</f>
        <v>10.444386590716501</v>
      </c>
      <c r="G48" s="8"/>
      <c r="I48" s="213"/>
    </row>
    <row r="49" spans="1:26" x14ac:dyDescent="0.35">
      <c r="A49" s="1">
        <f t="shared" si="0"/>
        <v>2032</v>
      </c>
      <c r="B49" s="154">
        <v>5</v>
      </c>
      <c r="C49" s="212">
        <f>C35*'F.Params&amp;Assumptions(UserInput)'!F92*Gram_Ton</f>
        <v>1.0103026880578991E-2</v>
      </c>
      <c r="D49" s="212">
        <f>C35*'F.Params&amp;Assumptions(UserInput)'!G92*Gram_Ton</f>
        <v>9.6598679883308275E-5</v>
      </c>
      <c r="E49" s="212">
        <f>C35*'F.Params&amp;Assumptions(UserInput)'!H92*Gram_Ton</f>
        <v>9.7096611222912066E-5</v>
      </c>
      <c r="F49" s="212">
        <f>C35*'F.Params&amp;Assumptions(UserInput)'!I92*Gram_Ton</f>
        <v>10.407713805905425</v>
      </c>
      <c r="G49" s="8"/>
      <c r="H49" s="3"/>
      <c r="I49" s="257"/>
      <c r="J49" s="257"/>
      <c r="K49" s="257"/>
      <c r="L49" s="257"/>
    </row>
    <row r="50" spans="1:26" x14ac:dyDescent="0.35">
      <c r="A50" s="1">
        <f t="shared" si="0"/>
        <v>2033</v>
      </c>
      <c r="B50" s="154">
        <v>6</v>
      </c>
      <c r="C50" s="212">
        <f>C36*'F.Params&amp;Assumptions(UserInput)'!F93*Gram_Ton</f>
        <v>9.818830427394825E-3</v>
      </c>
      <c r="D50" s="212">
        <f>C36*'F.Params&amp;Assumptions(UserInput)'!G93*Gram_Ton</f>
        <v>9.617721088021311E-5</v>
      </c>
      <c r="E50" s="212">
        <f>C36*'F.Params&amp;Assumptions(UserInput)'!H93*Gram_Ton</f>
        <v>9.4844940808652461E-5</v>
      </c>
      <c r="F50" s="212">
        <f>C36*'F.Params&amp;Assumptions(UserInput)'!I93*Gram_Ton</f>
        <v>10.365744547839641</v>
      </c>
      <c r="G50" s="8"/>
      <c r="I50" s="213"/>
    </row>
    <row r="51" spans="1:26" x14ac:dyDescent="0.35">
      <c r="A51" s="1">
        <f t="shared" si="0"/>
        <v>2034</v>
      </c>
      <c r="B51" s="154">
        <v>7</v>
      </c>
      <c r="C51" s="212">
        <f>C37*'F.Params&amp;Assumptions(UserInput)'!F94*Gram_Ton</f>
        <v>9.5199198779886696E-3</v>
      </c>
      <c r="D51" s="212">
        <f>C37*'F.Params&amp;Assumptions(UserInput)'!G94*Gram_Ton</f>
        <v>9.5703582525630978E-5</v>
      </c>
      <c r="E51" s="212">
        <f>C37*'F.Params&amp;Assumptions(UserInput)'!H94*Gram_Ton</f>
        <v>9.2470353386251211E-5</v>
      </c>
      <c r="F51" s="212">
        <f>C37*'F.Params&amp;Assumptions(UserInput)'!I94*Gram_Ton</f>
        <v>10.318288216459162</v>
      </c>
      <c r="G51" s="8"/>
      <c r="H51" s="3"/>
      <c r="I51" s="257"/>
      <c r="J51" s="257"/>
      <c r="K51" s="257"/>
      <c r="L51" s="257"/>
    </row>
    <row r="52" spans="1:26" x14ac:dyDescent="0.35">
      <c r="A52" s="1">
        <f t="shared" si="0"/>
        <v>2035</v>
      </c>
      <c r="B52" s="154">
        <v>8</v>
      </c>
      <c r="C52" s="212">
        <f>C38*'F.Params&amp;Assumptions(UserInput)'!F95*Gram_Ton</f>
        <v>9.205833497861261E-3</v>
      </c>
      <c r="D52" s="212">
        <f>C38*'F.Params&amp;Assumptions(UserInput)'!G95*Gram_Ton</f>
        <v>9.5175940222750591E-5</v>
      </c>
      <c r="E52" s="212">
        <f>C38*'F.Params&amp;Assumptions(UserInput)'!H95*Gram_Ton</f>
        <v>8.9968946263195218E-5</v>
      </c>
      <c r="F52" s="212">
        <f>C38*'F.Params&amp;Assumptions(UserInput)'!I95*Gram_Ton</f>
        <v>10.265148830962517</v>
      </c>
      <c r="G52" s="8"/>
      <c r="I52" s="213"/>
    </row>
    <row r="53" spans="1:26" x14ac:dyDescent="0.35">
      <c r="A53" s="1">
        <f t="shared" si="0"/>
        <v>2036</v>
      </c>
      <c r="B53" s="154">
        <v>9</v>
      </c>
      <c r="C53" s="212">
        <f>C39*'F.Params&amp;Assumptions(UserInput)'!F96*Gram_Ton</f>
        <v>8.8760972175307724E-3</v>
      </c>
      <c r="D53" s="212">
        <f>C39*'F.Params&amp;Assumptions(UserInput)'!G96*Gram_Ton</f>
        <v>9.4592377250100413E-5</v>
      </c>
      <c r="E53" s="212">
        <f>C39*'F.Params&amp;Assumptions(UserInput)'!H96*Gram_Ton</f>
        <v>8.7336711949666015E-5</v>
      </c>
      <c r="F53" s="212">
        <f>C39*'F.Params&amp;Assumptions(UserInput)'!I96*Gram_Ton</f>
        <v>10.206124893174563</v>
      </c>
      <c r="G53" s="8"/>
      <c r="H53" s="3"/>
      <c r="I53" s="257"/>
      <c r="J53" s="257"/>
      <c r="K53" s="257"/>
      <c r="L53" s="257"/>
    </row>
    <row r="54" spans="1:26" x14ac:dyDescent="0.35">
      <c r="A54" s="1">
        <f t="shared" si="0"/>
        <v>2037</v>
      </c>
      <c r="B54" s="154">
        <v>10</v>
      </c>
      <c r="C54" s="212">
        <f>C40*'F.Params&amp;Assumptions(UserInput)'!F97*Gram_Ton</f>
        <v>8.5302243285322495E-3</v>
      </c>
      <c r="D54" s="212">
        <f>C40*'F.Params&amp;Assumptions(UserInput)'!G97*Gram_Ton</f>
        <v>9.3950933441006761E-5</v>
      </c>
      <c r="E54" s="212">
        <f>C40*'F.Params&amp;Assumptions(UserInput)'!H97*Gram_Ton</f>
        <v>8.4569535568252503E-5</v>
      </c>
      <c r="F54" s="212">
        <f>C40*'F.Params&amp;Assumptions(UserInput)'!I97*Gram_Ton</f>
        <v>10.141009247646295</v>
      </c>
      <c r="G54" s="8"/>
      <c r="I54" s="213"/>
    </row>
    <row r="55" spans="1:26" x14ac:dyDescent="0.35">
      <c r="B55" s="3"/>
      <c r="C55" s="255"/>
      <c r="D55" s="255"/>
      <c r="E55" s="255"/>
      <c r="F55" s="256"/>
      <c r="G55" s="8"/>
      <c r="H55" s="3"/>
      <c r="I55" s="257"/>
      <c r="J55" s="257"/>
      <c r="K55" s="257"/>
      <c r="L55" s="257"/>
    </row>
    <row r="56" spans="1:26" x14ac:dyDescent="0.35">
      <c r="F56" s="8"/>
      <c r="G56" s="8"/>
      <c r="I56" s="213"/>
    </row>
    <row r="57" spans="1:26" s="1" customFormat="1" ht="20" x14ac:dyDescent="0.4">
      <c r="A57" s="24"/>
      <c r="B57" s="151" t="s">
        <v>384</v>
      </c>
      <c r="C57" s="3"/>
      <c r="D57" s="150"/>
      <c r="E57" s="28"/>
      <c r="F57" s="28"/>
      <c r="G57" s="29"/>
      <c r="H57" s="29" t="s">
        <v>304</v>
      </c>
      <c r="I57" s="28"/>
      <c r="J57" s="29"/>
      <c r="K57" s="29"/>
      <c r="L57" s="30"/>
      <c r="M57" s="30"/>
      <c r="N57" s="30"/>
      <c r="P57"/>
      <c r="Q57"/>
      <c r="R57"/>
      <c r="S57" s="29"/>
      <c r="T57" s="29"/>
      <c r="U57" s="29"/>
      <c r="V57" s="29"/>
      <c r="W57" s="29"/>
      <c r="X57" s="32"/>
      <c r="Y57" s="32"/>
      <c r="Z57" s="29"/>
    </row>
    <row r="58" spans="1:26" s="1" customFormat="1" ht="20" x14ac:dyDescent="0.4">
      <c r="A58" s="24"/>
      <c r="B58" s="151"/>
      <c r="C58" s="3"/>
      <c r="D58" s="150"/>
      <c r="E58" s="28"/>
      <c r="F58" s="28"/>
      <c r="G58" s="29"/>
      <c r="H58" s="29"/>
      <c r="I58" s="28"/>
      <c r="J58" s="29"/>
      <c r="K58" s="29"/>
      <c r="L58" s="30"/>
      <c r="M58" s="30"/>
      <c r="N58" s="30"/>
      <c r="P58"/>
      <c r="Q58"/>
      <c r="R58"/>
      <c r="S58" s="29"/>
      <c r="T58" s="29"/>
      <c r="U58" s="29"/>
      <c r="V58" s="29"/>
      <c r="W58" s="29"/>
      <c r="X58" s="32"/>
      <c r="Y58" s="32"/>
      <c r="Z58" s="29"/>
    </row>
    <row r="59" spans="1:26" ht="59.5" customHeight="1" x14ac:dyDescent="0.35">
      <c r="A59" s="497" t="s">
        <v>305</v>
      </c>
      <c r="B59" s="36"/>
      <c r="C59" s="164" t="s">
        <v>242</v>
      </c>
      <c r="D59" s="164" t="s">
        <v>243</v>
      </c>
      <c r="E59" s="164" t="s">
        <v>244</v>
      </c>
      <c r="F59" s="164" t="s">
        <v>245</v>
      </c>
      <c r="G59" s="42" t="s">
        <v>312</v>
      </c>
      <c r="H59" s="40" t="s">
        <v>367</v>
      </c>
      <c r="J59" s="6"/>
      <c r="K59" s="6"/>
      <c r="L59" s="6"/>
      <c r="M59" s="6"/>
      <c r="N59" s="6"/>
      <c r="O59" s="1"/>
      <c r="S59" s="1"/>
      <c r="T59" s="1"/>
      <c r="U59" s="1"/>
    </row>
    <row r="60" spans="1:26" x14ac:dyDescent="0.35">
      <c r="A60" s="497"/>
      <c r="B60" s="41" t="s">
        <v>56</v>
      </c>
      <c r="C60" s="162" t="str">
        <f t="shared" ref="C60:H60" si="1">_xlfn.CONCAT(CurrentDollarYear, "$")</f>
        <v>2022$</v>
      </c>
      <c r="D60" s="162" t="str">
        <f t="shared" si="1"/>
        <v>2022$</v>
      </c>
      <c r="E60" s="162" t="str">
        <f t="shared" si="1"/>
        <v>2022$</v>
      </c>
      <c r="F60" s="162" t="str">
        <f t="shared" si="1"/>
        <v>2022$</v>
      </c>
      <c r="G60" s="44" t="str">
        <f t="shared" si="1"/>
        <v>2022$</v>
      </c>
      <c r="H60" s="45" t="str">
        <f t="shared" si="1"/>
        <v>2022$</v>
      </c>
      <c r="J60" s="6"/>
      <c r="K60" s="6"/>
      <c r="L60" s="6"/>
      <c r="M60" s="6"/>
      <c r="N60" s="6"/>
      <c r="O60" s="1"/>
      <c r="P60" s="1"/>
      <c r="Q60" s="1"/>
      <c r="R60" s="1"/>
      <c r="S60" s="1"/>
      <c r="T60" s="1"/>
      <c r="U60" s="1"/>
    </row>
    <row r="61" spans="1:26" x14ac:dyDescent="0.35">
      <c r="A61" s="1">
        <f>'F.Params&amp;Assumptions(UserInput)'!F16</f>
        <v>2028</v>
      </c>
      <c r="B61" s="46">
        <v>1</v>
      </c>
      <c r="C61" s="163">
        <f>C45*'F.Params&amp;Assumptions(UserInput)'!F113</f>
        <v>236.4617612857343</v>
      </c>
      <c r="D61" s="163">
        <f>D45*'F.Params&amp;Assumptions(UserInput)'!G113</f>
        <v>5.74076028858501</v>
      </c>
      <c r="E61" s="163">
        <f>E45*'F.Params&amp;Assumptions(UserInput)'!H113</f>
        <v>108.16007749687085</v>
      </c>
      <c r="F61" s="163">
        <f>F45*'F.Params&amp;Assumptions(UserInput)'!I113</f>
        <v>2631.1135438703254</v>
      </c>
      <c r="G61" s="47">
        <f>SUM(C61:F61)</f>
        <v>2981.4761429415157</v>
      </c>
      <c r="H61" s="48">
        <f t="shared" ref="H61:H70" si="2">SUM(C61:E61)/(1+RealDiscountRate)^($A61-CurrentDollarYear)+F61/(1+CO2BenefitDiscountRate)^($A61-CurrentDollarYear)</f>
        <v>2628.0732231253969</v>
      </c>
      <c r="J61" s="6"/>
      <c r="K61" s="6"/>
      <c r="L61" s="6"/>
      <c r="M61" s="6"/>
      <c r="N61" s="6"/>
      <c r="O61" s="1"/>
      <c r="P61" s="1"/>
      <c r="Q61" s="1"/>
      <c r="R61" s="1"/>
      <c r="S61" s="1"/>
      <c r="T61" s="1"/>
      <c r="U61" s="1"/>
    </row>
    <row r="62" spans="1:26" x14ac:dyDescent="0.35">
      <c r="A62" s="1">
        <f>A61+1</f>
        <v>2029</v>
      </c>
      <c r="B62" s="55">
        <f>B61+1</f>
        <v>2</v>
      </c>
      <c r="C62" s="163">
        <f>C46*'F.Params&amp;Assumptions(UserInput)'!F114</f>
        <v>235.917412752811</v>
      </c>
      <c r="D62" s="163">
        <f>D46*'F.Params&amp;Assumptions(UserInput)'!G114</f>
        <v>5.8638320974947158</v>
      </c>
      <c r="E62" s="163">
        <f>E46*'F.Params&amp;Assumptions(UserInput)'!H114</f>
        <v>108.26794887562848</v>
      </c>
      <c r="F62" s="163">
        <f>F46*'F.Params&amp;Assumptions(UserInput)'!I114</f>
        <v>2657.1524957548618</v>
      </c>
      <c r="G62" s="47">
        <f t="shared" ref="G62:G69" si="3">SUM(C62:F62)</f>
        <v>3007.2016894807957</v>
      </c>
      <c r="H62" s="48">
        <f t="shared" si="2"/>
        <v>2595.9063449311766</v>
      </c>
      <c r="J62" s="6"/>
      <c r="K62" s="6"/>
      <c r="L62" s="6"/>
      <c r="M62" s="6"/>
      <c r="N62" s="6"/>
      <c r="O62" s="1"/>
      <c r="P62" s="1"/>
      <c r="Q62" s="1"/>
      <c r="R62" s="1"/>
      <c r="S62" s="1"/>
      <c r="T62" s="1"/>
      <c r="U62" s="1"/>
    </row>
    <row r="63" spans="1:26" x14ac:dyDescent="0.35">
      <c r="A63" s="1">
        <f t="shared" ref="A63:A70" si="4">A62+1</f>
        <v>2030</v>
      </c>
      <c r="B63" s="46">
        <f>B62+1</f>
        <v>3</v>
      </c>
      <c r="C63" s="163">
        <f>C47*'F.Params&amp;Assumptions(UserInput)'!F115</f>
        <v>233.83941980707522</v>
      </c>
      <c r="D63" s="163">
        <f>D47*'F.Params&amp;Assumptions(UserInput)'!G115</f>
        <v>5.9834767763835668</v>
      </c>
      <c r="E63" s="163">
        <f>E47*'F.Params&amp;Assumptions(UserInput)'!H115</f>
        <v>108.23229783914293</v>
      </c>
      <c r="F63" s="163">
        <f>F47*'F.Params&amp;Assumptions(UserInput)'!I115</f>
        <v>2692.3187015421672</v>
      </c>
      <c r="G63" s="47">
        <f t="shared" si="3"/>
        <v>3040.373895964769</v>
      </c>
      <c r="H63" s="48">
        <f t="shared" si="2"/>
        <v>2570.5013232655156</v>
      </c>
      <c r="J63" s="6"/>
      <c r="K63" s="6"/>
      <c r="L63" s="6"/>
      <c r="M63" s="6"/>
      <c r="N63" s="6"/>
      <c r="O63" s="1"/>
      <c r="P63" s="1"/>
      <c r="Q63" s="1"/>
      <c r="R63" s="1"/>
      <c r="S63" s="1"/>
      <c r="T63" s="1"/>
      <c r="U63" s="1"/>
    </row>
    <row r="64" spans="1:26" x14ac:dyDescent="0.35">
      <c r="A64" s="1">
        <f t="shared" si="4"/>
        <v>2031</v>
      </c>
      <c r="B64" s="46">
        <f t="shared" ref="B64:B70" si="5">B63+1</f>
        <v>4</v>
      </c>
      <c r="C64" s="163">
        <f>C48*'F.Params&amp;Assumptions(UserInput)'!F116</f>
        <v>228.20509654980057</v>
      </c>
      <c r="D64" s="163">
        <f>D48*'F.Params&amp;Assumptions(UserInput)'!G116</f>
        <v>5.9636422877512221</v>
      </c>
      <c r="E64" s="163">
        <f>E48*'F.Params&amp;Assumptions(UserInput)'!H116</f>
        <v>106.07597744373204</v>
      </c>
      <c r="F64" s="163">
        <f>F48*'F.Params&amp;Assumptions(UserInput)'!I116</f>
        <v>2736.4292867677232</v>
      </c>
      <c r="G64" s="47">
        <f t="shared" si="3"/>
        <v>3076.6740030490068</v>
      </c>
      <c r="H64" s="48">
        <f t="shared" si="2"/>
        <v>2548.2233145735645</v>
      </c>
      <c r="J64" s="6"/>
      <c r="K64" s="6"/>
      <c r="L64" s="6"/>
      <c r="M64" s="6"/>
      <c r="N64" s="6"/>
      <c r="O64" s="1"/>
      <c r="P64" s="1"/>
      <c r="Q64" s="1"/>
      <c r="R64" s="1"/>
      <c r="S64" s="1"/>
      <c r="T64" s="1"/>
      <c r="U64" s="1"/>
    </row>
    <row r="65" spans="1:21" x14ac:dyDescent="0.35">
      <c r="A65" s="1">
        <f t="shared" si="4"/>
        <v>2032</v>
      </c>
      <c r="B65" s="46">
        <f t="shared" si="5"/>
        <v>5</v>
      </c>
      <c r="C65" s="163">
        <f>C49*'F.Params&amp;Assumptions(UserInput)'!F117</f>
        <v>222.26659137273779</v>
      </c>
      <c r="D65" s="163">
        <f>D49*'F.Params&amp;Assumptions(UserInput)'!G117</f>
        <v>5.9408188128234585</v>
      </c>
      <c r="E65" s="163">
        <f>E49*'F.Params&amp;Assumptions(UserInput)'!H117</f>
        <v>103.796277397293</v>
      </c>
      <c r="F65" s="163">
        <f>F49*'F.Params&amp;Assumptions(UserInput)'!I117</f>
        <v>2758.0441585649378</v>
      </c>
      <c r="G65" s="47">
        <f t="shared" si="3"/>
        <v>3090.0478461477919</v>
      </c>
      <c r="H65" s="48">
        <f t="shared" si="2"/>
        <v>2507.2130525929724</v>
      </c>
      <c r="J65" s="6"/>
      <c r="K65" s="6"/>
      <c r="L65" s="6"/>
      <c r="M65" s="6"/>
      <c r="N65" s="6"/>
      <c r="O65" s="1"/>
      <c r="P65" s="1"/>
      <c r="Q65" s="1"/>
      <c r="R65" s="1"/>
      <c r="S65" s="1"/>
      <c r="T65" s="1"/>
      <c r="U65" s="1"/>
    </row>
    <row r="66" spans="1:21" x14ac:dyDescent="0.35">
      <c r="A66" s="1">
        <f t="shared" si="4"/>
        <v>2033</v>
      </c>
      <c r="B66" s="46">
        <f t="shared" si="5"/>
        <v>6</v>
      </c>
      <c r="C66" s="163">
        <f>C50*'F.Params&amp;Assumptions(UserInput)'!F118</f>
        <v>216.01426940268615</v>
      </c>
      <c r="D66" s="163">
        <f>D50*'F.Params&amp;Assumptions(UserInput)'!G118</f>
        <v>5.9148984691331066</v>
      </c>
      <c r="E66" s="163">
        <f>E50*'F.Params&amp;Assumptions(UserInput)'!H118</f>
        <v>101.38924172444948</v>
      </c>
      <c r="F66" s="163">
        <f>F50*'F.Params&amp;Assumptions(UserInput)'!I118</f>
        <v>2798.7510279167032</v>
      </c>
      <c r="G66" s="47">
        <f t="shared" si="3"/>
        <v>3122.0694375129719</v>
      </c>
      <c r="H66" s="48">
        <f t="shared" si="2"/>
        <v>2482.0241161899849</v>
      </c>
      <c r="J66" s="6"/>
      <c r="K66" s="6"/>
      <c r="L66" s="6"/>
      <c r="M66" s="6"/>
      <c r="N66" s="6"/>
      <c r="O66" s="1"/>
      <c r="P66" s="1"/>
      <c r="Q66" s="1"/>
      <c r="R66" s="1"/>
      <c r="S66" s="1"/>
      <c r="T66" s="1"/>
      <c r="U66" s="1"/>
    </row>
    <row r="67" spans="1:21" x14ac:dyDescent="0.35">
      <c r="A67" s="1">
        <f t="shared" si="4"/>
        <v>2034</v>
      </c>
      <c r="B67" s="46">
        <f t="shared" si="5"/>
        <v>7</v>
      </c>
      <c r="C67" s="163">
        <f>C51*'F.Params&amp;Assumptions(UserInput)'!F119</f>
        <v>209.43823731575074</v>
      </c>
      <c r="D67" s="163">
        <f>D51*'F.Params&amp;Assumptions(UserInput)'!G119</f>
        <v>5.8857703253263054</v>
      </c>
      <c r="E67" s="163">
        <f>E51*'F.Params&amp;Assumptions(UserInput)'!H119</f>
        <v>98.850807769902545</v>
      </c>
      <c r="F67" s="163">
        <f>F51*'F.Params&amp;Assumptions(UserInput)'!I119</f>
        <v>2827.2109713098107</v>
      </c>
      <c r="G67" s="47">
        <f t="shared" si="3"/>
        <v>3141.3857867207903</v>
      </c>
      <c r="H67" s="48">
        <f t="shared" si="2"/>
        <v>2447.0413260367786</v>
      </c>
      <c r="J67" s="6"/>
      <c r="K67" s="6"/>
      <c r="L67" s="6"/>
      <c r="M67" s="6"/>
      <c r="N67" s="6"/>
      <c r="O67" s="1"/>
      <c r="P67" s="1"/>
      <c r="Q67" s="1"/>
      <c r="R67" s="1"/>
      <c r="S67" s="1"/>
      <c r="T67" s="1"/>
      <c r="U67" s="1"/>
    </row>
    <row r="68" spans="1:21" x14ac:dyDescent="0.35">
      <c r="A68" s="1">
        <f t="shared" si="4"/>
        <v>2035</v>
      </c>
      <c r="B68" s="46">
        <f t="shared" si="5"/>
        <v>8</v>
      </c>
      <c r="C68" s="163">
        <f>C52*'F.Params&amp;Assumptions(UserInput)'!F120</f>
        <v>202.52833695294774</v>
      </c>
      <c r="D68" s="163">
        <f>D52*'F.Params&amp;Assumptions(UserInput)'!G120</f>
        <v>5.8533203236991609</v>
      </c>
      <c r="E68" s="163">
        <f>E52*'F.Params&amp;Assumptions(UserInput)'!H120</f>
        <v>96.17680355535569</v>
      </c>
      <c r="F68" s="163">
        <f>F52*'F.Params&amp;Assumptions(UserInput)'!I120</f>
        <v>2853.7113750075796</v>
      </c>
      <c r="G68" s="47">
        <f t="shared" si="3"/>
        <v>3158.2698358395824</v>
      </c>
      <c r="H68" s="48">
        <f t="shared" si="2"/>
        <v>2410.8013678715574</v>
      </c>
      <c r="J68" s="6"/>
      <c r="K68" s="6"/>
      <c r="L68" s="6"/>
      <c r="M68" s="6"/>
      <c r="N68" s="6"/>
      <c r="O68" s="1"/>
      <c r="P68" s="1"/>
      <c r="Q68" s="1"/>
      <c r="R68" s="1"/>
      <c r="S68" s="1"/>
      <c r="T68" s="1"/>
      <c r="U68" s="1"/>
    </row>
    <row r="69" spans="1:21" x14ac:dyDescent="0.35">
      <c r="A69" s="1">
        <f t="shared" si="4"/>
        <v>2036</v>
      </c>
      <c r="B69" s="46">
        <f t="shared" si="5"/>
        <v>9</v>
      </c>
      <c r="C69" s="163">
        <f>C53*'F.Params&amp;Assumptions(UserInput)'!F121</f>
        <v>195.274138785677</v>
      </c>
      <c r="D69" s="163">
        <f>D53*'F.Params&amp;Assumptions(UserInput)'!G121</f>
        <v>5.8174312008811757</v>
      </c>
      <c r="E69" s="163">
        <f>E53*'F.Params&amp;Assumptions(UserInput)'!H121</f>
        <v>93.362945074192965</v>
      </c>
      <c r="F69" s="163">
        <f>F53*'F.Params&amp;Assumptions(UserInput)'!I121</f>
        <v>2878.1272198752267</v>
      </c>
      <c r="G69" s="47">
        <f t="shared" si="3"/>
        <v>3172.5817349359777</v>
      </c>
      <c r="H69" s="48">
        <f t="shared" si="2"/>
        <v>2373.3030399129138</v>
      </c>
      <c r="J69" s="6"/>
      <c r="K69" s="6"/>
      <c r="L69" s="6"/>
      <c r="M69" s="6"/>
      <c r="N69" s="6"/>
      <c r="O69" s="1"/>
      <c r="P69" s="1"/>
      <c r="Q69" s="1"/>
      <c r="R69" s="1"/>
      <c r="S69" s="1"/>
      <c r="T69" s="1"/>
      <c r="U69" s="1"/>
    </row>
    <row r="70" spans="1:21" x14ac:dyDescent="0.35">
      <c r="A70" s="1">
        <f t="shared" si="4"/>
        <v>2037</v>
      </c>
      <c r="B70" s="46">
        <f t="shared" si="5"/>
        <v>10</v>
      </c>
      <c r="C70" s="163">
        <f>C54*'F.Params&amp;Assumptions(UserInput)'!F122</f>
        <v>187.66493522770949</v>
      </c>
      <c r="D70" s="163">
        <f>D54*'F.Params&amp;Assumptions(UserInput)'!G122</f>
        <v>5.7779824066219154</v>
      </c>
      <c r="E70" s="163">
        <f>E54*'F.Params&amp;Assumptions(UserInput)'!H122</f>
        <v>90.404833522461928</v>
      </c>
      <c r="F70" s="163">
        <f>F54*'F.Params&amp;Assumptions(UserInput)'!I122</f>
        <v>2910.4696540744867</v>
      </c>
      <c r="G70" s="47">
        <f>SUM(C70:F70)</f>
        <v>3194.3174052312802</v>
      </c>
      <c r="H70" s="48">
        <f t="shared" si="2"/>
        <v>2342.0801214928069</v>
      </c>
      <c r="J70" s="6"/>
      <c r="K70" s="6"/>
      <c r="L70" s="6"/>
      <c r="M70" s="6"/>
      <c r="N70" s="6"/>
      <c r="O70" s="1"/>
      <c r="P70" s="1"/>
      <c r="Q70" s="1"/>
      <c r="R70" s="1"/>
      <c r="S70" s="1"/>
      <c r="T70" s="1"/>
      <c r="U70" s="1"/>
    </row>
    <row r="71" spans="1:21" x14ac:dyDescent="0.35">
      <c r="J71" s="6"/>
      <c r="K71" s="6"/>
      <c r="L71" s="6"/>
    </row>
    <row r="72" spans="1:21" x14ac:dyDescent="0.35">
      <c r="A72" s="1"/>
      <c r="B72" s="56" t="s">
        <v>71</v>
      </c>
      <c r="C72" s="57"/>
      <c r="D72" s="57"/>
      <c r="E72" s="57"/>
      <c r="F72" s="57"/>
      <c r="G72" s="57"/>
      <c r="H72" s="59">
        <f>SUM(H61:H70)</f>
        <v>24905.167229992665</v>
      </c>
      <c r="J72" s="6"/>
      <c r="K72" s="6"/>
      <c r="L72" s="6"/>
    </row>
    <row r="73" spans="1:21" x14ac:dyDescent="0.35">
      <c r="B73" t="s">
        <v>368</v>
      </c>
      <c r="J73" s="6"/>
      <c r="K73" s="6"/>
      <c r="L73" s="6"/>
    </row>
    <row r="74" spans="1:21" x14ac:dyDescent="0.35">
      <c r="B74" s="3"/>
      <c r="C74" s="255"/>
      <c r="D74" s="255"/>
      <c r="E74" s="255"/>
      <c r="F74" s="256"/>
      <c r="G74" s="8"/>
      <c r="H74" s="3"/>
      <c r="I74" s="257"/>
      <c r="J74" s="257"/>
      <c r="K74" s="257"/>
      <c r="L74" s="257"/>
    </row>
    <row r="75" spans="1:21" x14ac:dyDescent="0.35">
      <c r="F75" s="8"/>
      <c r="G75" s="8"/>
      <c r="I75" s="213"/>
    </row>
    <row r="76" spans="1:21" x14ac:dyDescent="0.35">
      <c r="J76" s="6"/>
      <c r="K76" s="6"/>
      <c r="L76" s="6"/>
    </row>
    <row r="77" spans="1:21" x14ac:dyDescent="0.35">
      <c r="J77" s="6"/>
      <c r="K77" s="6"/>
      <c r="L77" s="6"/>
    </row>
  </sheetData>
  <mergeCells count="7">
    <mergeCell ref="A59:A60"/>
    <mergeCell ref="B8:M8"/>
    <mergeCell ref="B10:M10"/>
    <mergeCell ref="B12:M12"/>
    <mergeCell ref="B14:M14"/>
    <mergeCell ref="B16:M16"/>
    <mergeCell ref="B18:M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F88F-0997-49FB-B81C-CB7760AAD9A2}">
  <sheetPr>
    <tabColor rgb="FF002060"/>
  </sheetPr>
  <dimension ref="A1:X29"/>
  <sheetViews>
    <sheetView zoomScale="145" zoomScaleNormal="145" workbookViewId="0">
      <selection activeCell="A7" sqref="A7:XFD7"/>
    </sheetView>
  </sheetViews>
  <sheetFormatPr defaultRowHeight="14.5" x14ac:dyDescent="0.35"/>
  <cols>
    <col min="1" max="1" width="13.453125" customWidth="1"/>
    <col min="3" max="3" width="19.81640625" customWidth="1"/>
    <col min="4" max="4" width="20.7265625" customWidth="1"/>
    <col min="5" max="5" width="19.26953125" customWidth="1"/>
    <col min="6" max="6" width="13.81640625" customWidth="1"/>
    <col min="11" max="11" width="126" customWidth="1"/>
  </cols>
  <sheetData>
    <row r="1" spans="1:24" s="1" customFormat="1" ht="20" x14ac:dyDescent="0.4">
      <c r="B1" s="2" t="s">
        <v>385</v>
      </c>
      <c r="C1" s="3"/>
      <c r="D1" s="5"/>
      <c r="E1" s="6"/>
      <c r="F1" s="6"/>
      <c r="H1" s="6"/>
      <c r="I1" s="6"/>
      <c r="J1" s="6"/>
      <c r="L1" s="2"/>
      <c r="M1" s="3"/>
      <c r="N1" s="4"/>
    </row>
    <row r="2" spans="1:24" s="1" customFormat="1" ht="12.5" x14ac:dyDescent="0.25">
      <c r="B2" s="3"/>
      <c r="C2" s="3"/>
      <c r="D2" s="4"/>
      <c r="E2" s="6"/>
      <c r="F2" s="6"/>
      <c r="H2" s="6"/>
      <c r="I2" s="6"/>
      <c r="J2" s="6"/>
      <c r="L2" s="3"/>
      <c r="M2" s="3"/>
      <c r="N2" s="4"/>
    </row>
    <row r="3" spans="1:24" s="1" customFormat="1" ht="17.5" x14ac:dyDescent="0.25">
      <c r="B3" s="7" t="s">
        <v>386</v>
      </c>
      <c r="D3" s="8"/>
      <c r="E3" s="9"/>
      <c r="F3" s="8"/>
      <c r="G3" s="9"/>
      <c r="H3" s="9"/>
      <c r="I3" s="8"/>
      <c r="J3" s="8"/>
      <c r="L3" s="7"/>
      <c r="N3" s="8"/>
    </row>
    <row r="4" spans="1:24" s="1" customFormat="1" ht="17.5" x14ac:dyDescent="0.25">
      <c r="B4" s="7" t="s">
        <v>387</v>
      </c>
      <c r="D4" s="8"/>
      <c r="E4" s="9"/>
      <c r="F4" s="8"/>
      <c r="G4" s="9"/>
      <c r="H4" s="9"/>
      <c r="I4" s="8"/>
      <c r="J4" s="8"/>
      <c r="L4" s="7"/>
      <c r="N4" s="8"/>
    </row>
    <row r="5" spans="1:24" s="1" customFormat="1" ht="17.5" x14ac:dyDescent="0.25">
      <c r="B5" s="7" t="s">
        <v>388</v>
      </c>
      <c r="D5" s="8"/>
      <c r="E5" s="9"/>
      <c r="F5" s="8"/>
      <c r="G5" s="9"/>
      <c r="H5" s="9"/>
      <c r="I5" s="8"/>
      <c r="J5" s="8"/>
      <c r="L5" s="7"/>
      <c r="N5" s="8"/>
    </row>
    <row r="6" spans="1:24" ht="17.5" x14ac:dyDescent="0.35">
      <c r="B6" s="7" t="s">
        <v>43</v>
      </c>
    </row>
    <row r="7" spans="1:24" ht="17.5" x14ac:dyDescent="0.35">
      <c r="A7" s="1"/>
      <c r="B7" s="15" t="s">
        <v>389</v>
      </c>
      <c r="C7" s="3"/>
      <c r="D7" s="4"/>
      <c r="E7" s="4"/>
      <c r="F7" s="4"/>
      <c r="G7" s="6"/>
      <c r="H7" s="6"/>
      <c r="I7" s="6"/>
      <c r="J7" s="6"/>
      <c r="K7" s="6"/>
      <c r="L7" s="6"/>
      <c r="M7" s="6"/>
      <c r="N7" s="1"/>
      <c r="O7" s="3"/>
      <c r="P7" s="3"/>
      <c r="Q7" s="6"/>
      <c r="R7" s="6"/>
      <c r="S7" s="1"/>
      <c r="T7" s="1"/>
      <c r="U7" s="1"/>
    </row>
    <row r="8" spans="1:24" ht="17.5" x14ac:dyDescent="0.35">
      <c r="B8" s="7"/>
    </row>
    <row r="9" spans="1:24" s="1" customFormat="1" ht="17.5" x14ac:dyDescent="0.25">
      <c r="B9" s="10" t="s">
        <v>298</v>
      </c>
      <c r="C9" s="11"/>
      <c r="D9" s="12"/>
      <c r="E9" s="13"/>
      <c r="F9" s="13"/>
      <c r="G9" s="12"/>
      <c r="H9" s="13"/>
      <c r="I9" s="12"/>
      <c r="J9" s="12"/>
      <c r="K9" s="14"/>
      <c r="M9" s="15"/>
      <c r="O9" s="8"/>
    </row>
    <row r="10" spans="1:24" s="1" customFormat="1" ht="15" customHeight="1" x14ac:dyDescent="0.25">
      <c r="B10" s="511" t="s">
        <v>390</v>
      </c>
      <c r="C10" s="512"/>
      <c r="D10" s="512"/>
      <c r="E10" s="512"/>
      <c r="F10" s="512"/>
      <c r="G10" s="512"/>
      <c r="H10" s="512"/>
      <c r="I10" s="512"/>
      <c r="J10" s="512"/>
      <c r="K10" s="513"/>
      <c r="M10" s="17"/>
      <c r="O10" s="8"/>
    </row>
    <row r="11" spans="1:24" s="1" customFormat="1" ht="12.5" x14ac:dyDescent="0.25">
      <c r="B11" s="171"/>
      <c r="C11" s="85"/>
      <c r="D11" s="173"/>
      <c r="E11" s="174"/>
      <c r="F11" s="174"/>
      <c r="G11" s="174"/>
      <c r="H11" s="174"/>
      <c r="I11" s="174"/>
      <c r="J11" s="174"/>
      <c r="K11" s="175"/>
      <c r="M11" s="21"/>
      <c r="N11" s="8"/>
      <c r="O11" s="8"/>
    </row>
    <row r="13" spans="1:24" s="1" customFormat="1" ht="20" x14ac:dyDescent="0.4">
      <c r="A13" s="24"/>
      <c r="B13" s="151" t="s">
        <v>391</v>
      </c>
      <c r="C13" s="3"/>
      <c r="D13" s="28"/>
      <c r="E13" s="29"/>
      <c r="F13" s="29" t="s">
        <v>304</v>
      </c>
      <c r="G13" s="28"/>
      <c r="H13" s="29"/>
      <c r="I13" s="29"/>
      <c r="J13" s="30"/>
      <c r="K13" s="30"/>
      <c r="L13" s="30"/>
      <c r="O13" s="28"/>
      <c r="P13" s="31"/>
      <c r="Q13" s="29"/>
      <c r="R13" s="29"/>
      <c r="S13" s="29"/>
      <c r="T13" s="29"/>
      <c r="U13" s="29"/>
      <c r="V13" s="32"/>
      <c r="W13" s="32"/>
      <c r="X13" s="29"/>
    </row>
    <row r="14" spans="1:24" s="1" customFormat="1" ht="20" x14ac:dyDescent="0.4">
      <c r="A14" s="24"/>
      <c r="B14" s="151"/>
      <c r="C14" s="3"/>
      <c r="D14" s="28"/>
      <c r="E14" s="29"/>
      <c r="F14" s="29"/>
      <c r="G14" s="28"/>
      <c r="H14" s="29"/>
      <c r="I14" s="29"/>
      <c r="J14" s="30"/>
      <c r="K14" s="30"/>
      <c r="L14" s="30"/>
      <c r="O14" s="28"/>
      <c r="P14" s="31"/>
      <c r="Q14" s="29"/>
      <c r="R14" s="29"/>
      <c r="S14" s="29"/>
      <c r="T14" s="29"/>
      <c r="U14" s="29"/>
      <c r="V14" s="32"/>
      <c r="W14" s="32"/>
      <c r="X14" s="29"/>
    </row>
    <row r="15" spans="1:24" ht="59.5" customHeight="1" x14ac:dyDescent="0.35">
      <c r="A15" s="497" t="s">
        <v>305</v>
      </c>
      <c r="B15" s="36"/>
      <c r="C15" s="164" t="s">
        <v>385</v>
      </c>
      <c r="D15" s="42" t="s">
        <v>312</v>
      </c>
      <c r="E15" s="40" t="s">
        <v>313</v>
      </c>
      <c r="F15" s="1"/>
      <c r="G15" s="1"/>
      <c r="H15" s="1"/>
      <c r="J15" s="6"/>
      <c r="K15" s="6"/>
      <c r="L15" s="6"/>
      <c r="M15" s="1"/>
      <c r="N15" s="1"/>
      <c r="O15" s="1"/>
      <c r="P15" s="1"/>
      <c r="Q15" s="1"/>
      <c r="R15" s="1"/>
      <c r="S15" s="1"/>
    </row>
    <row r="16" spans="1:24" x14ac:dyDescent="0.35">
      <c r="A16" s="497"/>
      <c r="B16" s="41" t="s">
        <v>56</v>
      </c>
      <c r="C16" s="162" t="str">
        <f>_xlfn.CONCAT(CurrentDollarYear, "$")</f>
        <v>2022$</v>
      </c>
      <c r="D16" s="44" t="str">
        <f>_xlfn.CONCAT(CurrentDollarYear, "$")</f>
        <v>2022$</v>
      </c>
      <c r="E16" s="45" t="str">
        <f>_xlfn.CONCAT(CurrentDollarYear, "$")</f>
        <v>2022$</v>
      </c>
      <c r="F16" s="1"/>
      <c r="G16" s="1"/>
      <c r="H16" s="1"/>
      <c r="J16" s="6"/>
      <c r="K16" s="6"/>
      <c r="L16" s="6"/>
      <c r="M16" s="1"/>
      <c r="N16" s="1"/>
      <c r="O16" s="1"/>
      <c r="P16" s="1"/>
      <c r="Q16" s="1"/>
      <c r="R16" s="1"/>
      <c r="S16" s="1"/>
    </row>
    <row r="17" spans="1:19" x14ac:dyDescent="0.35">
      <c r="A17" s="1">
        <v>2028</v>
      </c>
      <c r="B17" s="46">
        <v>1</v>
      </c>
      <c r="C17" s="163">
        <f>'5. Environmental Benefits_B'!C31*VehilceOperatingCostPerMile</f>
        <v>13810.368000000002</v>
      </c>
      <c r="D17" s="47">
        <f t="shared" ref="D17:D26" si="0">SUM(C17:C17)</f>
        <v>13810.368000000002</v>
      </c>
      <c r="E17" s="48">
        <f t="shared" ref="E17:E26" si="1">$D17/(1+RealDiscountRate)^($A17-CurrentDollarYear)</f>
        <v>11498.819572304817</v>
      </c>
      <c r="F17" s="1"/>
      <c r="G17" s="1"/>
      <c r="H17" s="1"/>
      <c r="J17" s="6"/>
      <c r="K17" s="6"/>
      <c r="L17" s="6"/>
      <c r="M17" s="1"/>
      <c r="N17" s="1"/>
      <c r="O17" s="1"/>
      <c r="P17" s="1"/>
      <c r="Q17" s="1"/>
      <c r="R17" s="1"/>
      <c r="S17" s="1"/>
    </row>
    <row r="18" spans="1:19" x14ac:dyDescent="0.35">
      <c r="A18" s="1">
        <v>2029</v>
      </c>
      <c r="B18" s="55">
        <f>B17+1</f>
        <v>2</v>
      </c>
      <c r="C18" s="163">
        <f>'5. Environmental Benefits_B'!C32*VehilceOperatingCostPerMile</f>
        <v>14076.631895040002</v>
      </c>
      <c r="D18" s="47">
        <f t="shared" si="0"/>
        <v>14076.631895040002</v>
      </c>
      <c r="E18" s="48">
        <f t="shared" si="1"/>
        <v>11368.10554186116</v>
      </c>
      <c r="F18" s="1"/>
      <c r="G18" s="1"/>
      <c r="H18" s="1"/>
      <c r="J18" s="6"/>
      <c r="K18" s="6"/>
      <c r="L18" s="6"/>
      <c r="M18" s="1"/>
      <c r="N18" s="1"/>
      <c r="O18" s="1"/>
      <c r="P18" s="1"/>
      <c r="Q18" s="1"/>
      <c r="R18" s="1"/>
      <c r="S18" s="1"/>
    </row>
    <row r="19" spans="1:19" x14ac:dyDescent="0.35">
      <c r="A19" s="1">
        <v>2030</v>
      </c>
      <c r="B19" s="46">
        <f>B18+1</f>
        <v>3</v>
      </c>
      <c r="C19" s="163">
        <f>'5. Environmental Benefits_B'!C33*VehilceOperatingCostPerMile</f>
        <v>14348.029357976373</v>
      </c>
      <c r="D19" s="47">
        <f t="shared" si="0"/>
        <v>14348.029357976373</v>
      </c>
      <c r="E19" s="48">
        <f t="shared" si="1"/>
        <v>11238.87741678782</v>
      </c>
      <c r="F19" s="1"/>
      <c r="G19" s="1"/>
      <c r="H19" s="1"/>
      <c r="J19" s="6"/>
      <c r="K19" s="6"/>
      <c r="L19" s="6"/>
      <c r="M19" s="1"/>
      <c r="N19" s="1"/>
      <c r="O19" s="1"/>
      <c r="P19" s="1"/>
      <c r="Q19" s="1"/>
      <c r="R19" s="1"/>
      <c r="S19" s="1"/>
    </row>
    <row r="20" spans="1:19" x14ac:dyDescent="0.35">
      <c r="A20" s="1">
        <v>2031</v>
      </c>
      <c r="B20" s="46">
        <f t="shared" ref="B20:B26" si="2">B19+1</f>
        <v>4</v>
      </c>
      <c r="C20" s="163">
        <f>'5. Environmental Benefits_B'!C34*VehilceOperatingCostPerMile</f>
        <v>14624.659363998157</v>
      </c>
      <c r="D20" s="47">
        <f t="shared" si="0"/>
        <v>14624.659363998157</v>
      </c>
      <c r="E20" s="48">
        <f t="shared" si="1"/>
        <v>11111.118305900573</v>
      </c>
      <c r="F20" s="1"/>
      <c r="G20" s="1"/>
      <c r="H20" s="1"/>
      <c r="J20" s="6"/>
      <c r="K20" s="6"/>
      <c r="L20" s="6"/>
      <c r="M20" s="1"/>
      <c r="N20" s="1"/>
      <c r="O20" s="1"/>
      <c r="P20" s="1"/>
      <c r="Q20" s="1"/>
      <c r="R20" s="1"/>
      <c r="S20" s="1"/>
    </row>
    <row r="21" spans="1:19" x14ac:dyDescent="0.35">
      <c r="A21" s="1">
        <v>2032</v>
      </c>
      <c r="B21" s="46">
        <f t="shared" si="2"/>
        <v>5</v>
      </c>
      <c r="C21" s="163">
        <f>'5. Environmental Benefits_B'!C35*VehilceOperatingCostPerMile</f>
        <v>14906.622796536041</v>
      </c>
      <c r="D21" s="47">
        <f t="shared" si="0"/>
        <v>14906.622796536041</v>
      </c>
      <c r="E21" s="48">
        <f t="shared" si="1"/>
        <v>10984.811510027483</v>
      </c>
      <c r="F21" s="1"/>
      <c r="G21" s="1"/>
      <c r="H21" s="1"/>
      <c r="J21" s="6"/>
      <c r="K21" s="6"/>
      <c r="L21" s="6"/>
      <c r="M21" s="1"/>
      <c r="N21" s="1"/>
      <c r="O21" s="1"/>
      <c r="P21" s="1"/>
      <c r="Q21" s="1"/>
      <c r="R21" s="1"/>
      <c r="S21" s="1"/>
    </row>
    <row r="22" spans="1:19" x14ac:dyDescent="0.35">
      <c r="A22" s="1">
        <v>2033</v>
      </c>
      <c r="B22" s="46">
        <f t="shared" si="2"/>
        <v>6</v>
      </c>
      <c r="C22" s="163">
        <f>'5. Environmental Benefits_B'!C36*VehilceOperatingCostPerMile</f>
        <v>15194.022484053256</v>
      </c>
      <c r="D22" s="47">
        <f t="shared" si="0"/>
        <v>15194.022484053256</v>
      </c>
      <c r="E22" s="48">
        <f t="shared" si="1"/>
        <v>10859.940519826201</v>
      </c>
      <c r="F22" s="1"/>
      <c r="G22" s="1"/>
      <c r="H22" s="1"/>
      <c r="J22" s="6"/>
      <c r="K22" s="6"/>
      <c r="L22" s="6"/>
      <c r="M22" s="1"/>
      <c r="N22" s="1"/>
      <c r="O22" s="1"/>
      <c r="P22" s="1"/>
      <c r="Q22" s="1"/>
      <c r="R22" s="1"/>
      <c r="S22" s="1"/>
    </row>
    <row r="23" spans="1:19" x14ac:dyDescent="0.35">
      <c r="A23" s="1">
        <v>2034</v>
      </c>
      <c r="B23" s="46">
        <f t="shared" si="2"/>
        <v>7</v>
      </c>
      <c r="C23" s="163">
        <f>'5. Environmental Benefits_B'!C37*VehilceOperatingCostPerMile</f>
        <v>15486.963237545802</v>
      </c>
      <c r="D23" s="47">
        <f t="shared" si="0"/>
        <v>15486.963237545802</v>
      </c>
      <c r="E23" s="48">
        <f t="shared" si="1"/>
        <v>10736.489013626042</v>
      </c>
      <c r="F23" s="1"/>
      <c r="G23" s="1"/>
      <c r="H23" s="1"/>
      <c r="J23" s="6"/>
      <c r="K23" s="6"/>
      <c r="L23" s="6"/>
      <c r="M23" s="1"/>
      <c r="N23" s="1"/>
      <c r="O23" s="1"/>
      <c r="P23" s="1"/>
      <c r="Q23" s="1"/>
      <c r="R23" s="1"/>
      <c r="S23" s="1"/>
    </row>
    <row r="24" spans="1:19" x14ac:dyDescent="0.35">
      <c r="A24" s="1">
        <v>2035</v>
      </c>
      <c r="B24" s="46">
        <f t="shared" si="2"/>
        <v>8</v>
      </c>
      <c r="C24" s="163">
        <f>'5. Environmental Benefits_B'!C38*VehilceOperatingCostPerMile</f>
        <v>15785.551888765685</v>
      </c>
      <c r="D24" s="47">
        <f t="shared" si="0"/>
        <v>15785.551888765685</v>
      </c>
      <c r="E24" s="48">
        <f t="shared" si="1"/>
        <v>10614.440855294621</v>
      </c>
      <c r="F24" s="1"/>
      <c r="G24" s="1"/>
      <c r="H24" s="1"/>
      <c r="J24" s="6"/>
      <c r="K24" s="6"/>
      <c r="L24" s="6"/>
      <c r="M24" s="1"/>
      <c r="N24" s="1"/>
      <c r="O24" s="1"/>
      <c r="P24" s="1"/>
      <c r="Q24" s="1"/>
      <c r="R24" s="1"/>
      <c r="S24" s="1"/>
    </row>
    <row r="25" spans="1:19" x14ac:dyDescent="0.35">
      <c r="A25" s="1">
        <v>2036</v>
      </c>
      <c r="B25" s="46">
        <f t="shared" si="2"/>
        <v>9</v>
      </c>
      <c r="C25" s="163">
        <f>'5. Environmental Benefits_B'!C39*VehilceOperatingCostPerMile</f>
        <v>16089.897329181087</v>
      </c>
      <c r="D25" s="47">
        <f t="shared" si="0"/>
        <v>16089.897329181087</v>
      </c>
      <c r="E25" s="48">
        <f t="shared" si="1"/>
        <v>10493.780092128711</v>
      </c>
      <c r="F25" s="1"/>
      <c r="G25" s="1"/>
      <c r="H25" s="1"/>
      <c r="J25" s="6"/>
      <c r="K25" s="6"/>
      <c r="L25" s="6"/>
      <c r="M25" s="1"/>
      <c r="N25" s="1"/>
      <c r="O25" s="1"/>
      <c r="P25" s="1"/>
      <c r="Q25" s="1"/>
      <c r="R25" s="1"/>
      <c r="S25" s="1"/>
    </row>
    <row r="26" spans="1:19" x14ac:dyDescent="0.35">
      <c r="A26" s="1">
        <v>2037</v>
      </c>
      <c r="B26" s="46">
        <f t="shared" si="2"/>
        <v>10</v>
      </c>
      <c r="C26" s="163">
        <f>'5. Environmental Benefits_B'!C40*VehilceOperatingCostPerMile</f>
        <v>16400.110549687699</v>
      </c>
      <c r="D26" s="47">
        <f t="shared" si="0"/>
        <v>16400.110549687699</v>
      </c>
      <c r="E26" s="48">
        <f t="shared" si="1"/>
        <v>10374.490952769111</v>
      </c>
      <c r="F26" s="1"/>
      <c r="G26" s="1"/>
      <c r="H26" s="1"/>
      <c r="J26" s="6"/>
      <c r="K26" s="6"/>
      <c r="L26" s="6"/>
      <c r="M26" s="1"/>
      <c r="N26" s="1"/>
      <c r="O26" s="1"/>
      <c r="P26" s="1"/>
      <c r="Q26" s="1"/>
      <c r="R26" s="1"/>
      <c r="S26" s="1"/>
    </row>
    <row r="27" spans="1:19" x14ac:dyDescent="0.35">
      <c r="F27" s="1"/>
      <c r="G27" s="1"/>
      <c r="H27" s="1"/>
    </row>
    <row r="28" spans="1:19" x14ac:dyDescent="0.35">
      <c r="A28" s="1"/>
      <c r="B28" s="56" t="s">
        <v>71</v>
      </c>
      <c r="C28" s="57"/>
      <c r="D28" s="57"/>
      <c r="E28" s="59">
        <f>SUM(E17:E26)</f>
        <v>109280.87378052653</v>
      </c>
      <c r="H28" s="6"/>
      <c r="I28" s="6"/>
      <c r="J28" s="6"/>
    </row>
    <row r="29" spans="1:19" s="1" customFormat="1" ht="12.5" x14ac:dyDescent="0.25">
      <c r="A29" s="24"/>
      <c r="B29" s="8"/>
      <c r="C29" s="24"/>
      <c r="D29" s="25"/>
      <c r="E29" s="24"/>
      <c r="G29" s="8"/>
      <c r="H29" s="24"/>
      <c r="L29" s="8"/>
      <c r="M29" s="24"/>
      <c r="N29" s="25"/>
    </row>
  </sheetData>
  <mergeCells count="2">
    <mergeCell ref="B10:K10"/>
    <mergeCell ref="A15:A1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05014-313C-4A26-BBF5-59CC19AECFC7}">
  <sheetPr>
    <tabColor rgb="FF002060"/>
  </sheetPr>
  <dimension ref="A1:X31"/>
  <sheetViews>
    <sheetView zoomScale="160" zoomScaleNormal="160" workbookViewId="0">
      <selection activeCell="K20" sqref="K20"/>
    </sheetView>
  </sheetViews>
  <sheetFormatPr defaultRowHeight="14.5" x14ac:dyDescent="0.35"/>
  <cols>
    <col min="1" max="1" width="12.54296875" bestFit="1" customWidth="1"/>
    <col min="2" max="2" width="16.54296875" customWidth="1"/>
    <col min="3" max="3" width="18.7265625" customWidth="1"/>
    <col min="4" max="4" width="19.7265625" customWidth="1"/>
    <col min="5" max="5" width="20.1796875" customWidth="1"/>
    <col min="6" max="6" width="13" customWidth="1"/>
    <col min="11" max="11" width="106.7265625" customWidth="1"/>
  </cols>
  <sheetData>
    <row r="1" spans="1:24" s="1" customFormat="1" ht="20" x14ac:dyDescent="0.4">
      <c r="B1" s="2" t="s">
        <v>392</v>
      </c>
      <c r="C1" s="3"/>
      <c r="D1" s="5"/>
      <c r="E1" s="6"/>
      <c r="F1" s="6"/>
      <c r="H1" s="6"/>
      <c r="I1" s="6"/>
      <c r="J1" s="6"/>
      <c r="L1" s="2"/>
      <c r="M1" s="3"/>
      <c r="N1" s="4"/>
    </row>
    <row r="2" spans="1:24" s="1" customFormat="1" ht="12.5" x14ac:dyDescent="0.25">
      <c r="B2" s="3"/>
      <c r="C2" s="3"/>
      <c r="D2" s="4"/>
      <c r="E2" s="6"/>
      <c r="F2" s="6"/>
      <c r="H2" s="6"/>
      <c r="I2" s="6"/>
      <c r="J2" s="6"/>
      <c r="L2" s="3"/>
      <c r="M2" s="3"/>
      <c r="N2" s="4"/>
    </row>
    <row r="3" spans="1:24" s="1" customFormat="1" ht="17.5" x14ac:dyDescent="0.25">
      <c r="B3" s="7" t="s">
        <v>393</v>
      </c>
      <c r="D3" s="8"/>
      <c r="E3" s="9"/>
      <c r="F3" s="8"/>
      <c r="G3" s="9"/>
      <c r="H3" s="9"/>
      <c r="I3" s="8"/>
      <c r="J3" s="8"/>
      <c r="L3" s="7"/>
      <c r="N3" s="8"/>
    </row>
    <row r="4" spans="1:24" ht="17.5" x14ac:dyDescent="0.35">
      <c r="B4" s="7" t="s">
        <v>43</v>
      </c>
    </row>
    <row r="5" spans="1:24" ht="17.5" x14ac:dyDescent="0.35">
      <c r="A5" s="1"/>
      <c r="B5" s="15" t="s">
        <v>394</v>
      </c>
      <c r="C5" s="3"/>
      <c r="D5" s="4"/>
      <c r="E5" s="4"/>
      <c r="F5" s="4"/>
      <c r="G5" s="6"/>
      <c r="H5" s="6"/>
      <c r="I5" s="6"/>
      <c r="J5" s="6"/>
      <c r="K5" s="6"/>
      <c r="L5" s="6"/>
      <c r="M5" s="6"/>
      <c r="N5" s="1"/>
      <c r="O5" s="3"/>
      <c r="P5" s="3"/>
      <c r="Q5" s="6"/>
      <c r="R5" s="6"/>
      <c r="S5" s="1"/>
      <c r="T5" s="1"/>
      <c r="U5" s="1"/>
    </row>
    <row r="6" spans="1:24" s="1" customFormat="1" ht="17.5" x14ac:dyDescent="0.25">
      <c r="B6" s="7"/>
      <c r="D6" s="8"/>
      <c r="E6" s="9"/>
      <c r="F6" s="8"/>
      <c r="G6" s="9"/>
      <c r="H6" s="9"/>
      <c r="I6" s="8"/>
      <c r="J6" s="8"/>
      <c r="L6" s="7"/>
      <c r="N6" s="8"/>
    </row>
    <row r="7" spans="1:24" s="1" customFormat="1" ht="17.5" x14ac:dyDescent="0.25">
      <c r="B7" s="10" t="s">
        <v>298</v>
      </c>
      <c r="C7" s="11"/>
      <c r="D7" s="12"/>
      <c r="E7" s="13"/>
      <c r="F7" s="13"/>
      <c r="G7" s="12"/>
      <c r="H7" s="13"/>
      <c r="I7" s="12"/>
      <c r="J7" s="12"/>
      <c r="K7" s="14"/>
      <c r="M7" s="15"/>
      <c r="O7" s="8"/>
    </row>
    <row r="8" spans="1:24" s="1" customFormat="1" ht="15" customHeight="1" x14ac:dyDescent="0.25">
      <c r="B8" s="502" t="s">
        <v>395</v>
      </c>
      <c r="C8" s="503"/>
      <c r="D8" s="503"/>
      <c r="E8" s="503"/>
      <c r="F8" s="503"/>
      <c r="G8" s="503"/>
      <c r="H8" s="503"/>
      <c r="I8" s="503"/>
      <c r="J8" s="503"/>
      <c r="K8" s="504"/>
      <c r="M8" s="17"/>
      <c r="O8" s="8"/>
    </row>
    <row r="9" spans="1:24" s="1" customFormat="1" ht="13" x14ac:dyDescent="0.25">
      <c r="B9" s="266"/>
      <c r="C9" s="169"/>
      <c r="D9" s="169"/>
      <c r="E9" s="169"/>
      <c r="F9" s="169"/>
      <c r="G9" s="169"/>
      <c r="H9" s="169"/>
      <c r="I9" s="169"/>
      <c r="J9" s="169"/>
      <c r="K9" s="267"/>
      <c r="M9" s="17"/>
      <c r="O9" s="8"/>
    </row>
    <row r="10" spans="1:24" s="1" customFormat="1" ht="27" customHeight="1" x14ac:dyDescent="0.25">
      <c r="B10" s="499" t="s">
        <v>396</v>
      </c>
      <c r="C10" s="500"/>
      <c r="D10" s="500"/>
      <c r="E10" s="500"/>
      <c r="F10" s="500"/>
      <c r="G10" s="500"/>
      <c r="H10" s="500"/>
      <c r="I10" s="500"/>
      <c r="J10" s="500"/>
      <c r="K10" s="501"/>
      <c r="M10" s="17"/>
      <c r="O10" s="8"/>
    </row>
    <row r="11" spans="1:24" s="1" customFormat="1" ht="12.5" x14ac:dyDescent="0.25">
      <c r="B11" s="171"/>
      <c r="C11" s="85"/>
      <c r="D11" s="173"/>
      <c r="E11" s="174"/>
      <c r="F11" s="174"/>
      <c r="G11" s="174"/>
      <c r="H11" s="174"/>
      <c r="I11" s="174"/>
      <c r="J11" s="174"/>
      <c r="K11" s="175"/>
      <c r="M11" s="8"/>
      <c r="N11" s="8"/>
      <c r="O11" s="8"/>
    </row>
    <row r="12" spans="1:24" s="1" customFormat="1" ht="12.5" x14ac:dyDescent="0.25">
      <c r="A12" s="24"/>
      <c r="B12" s="8"/>
      <c r="C12" s="24"/>
      <c r="D12" s="25"/>
      <c r="E12" s="24"/>
      <c r="G12" s="8"/>
      <c r="H12" s="24"/>
      <c r="L12" s="8"/>
      <c r="M12" s="24"/>
      <c r="N12" s="25"/>
    </row>
    <row r="14" spans="1:24" s="1" customFormat="1" ht="20" x14ac:dyDescent="0.4">
      <c r="A14" s="24"/>
      <c r="B14" s="151" t="s">
        <v>397</v>
      </c>
      <c r="C14" s="3"/>
      <c r="D14" s="28"/>
      <c r="E14" s="29"/>
      <c r="F14" s="29" t="s">
        <v>304</v>
      </c>
      <c r="G14" s="28"/>
      <c r="H14" s="29"/>
      <c r="I14" s="29"/>
      <c r="J14" s="30"/>
      <c r="K14" s="30"/>
      <c r="L14" s="30"/>
      <c r="O14" s="28"/>
      <c r="P14" s="31"/>
      <c r="Q14" s="29"/>
      <c r="R14" s="29"/>
      <c r="S14" s="29"/>
      <c r="T14" s="29"/>
      <c r="U14" s="29"/>
      <c r="V14" s="32"/>
      <c r="W14" s="32"/>
      <c r="X14" s="29"/>
    </row>
    <row r="15" spans="1:24" s="1" customFormat="1" ht="20" x14ac:dyDescent="0.4">
      <c r="A15" s="24"/>
      <c r="B15" s="151"/>
      <c r="C15" s="3"/>
      <c r="D15" s="28"/>
      <c r="E15" s="29"/>
      <c r="F15" s="29"/>
      <c r="G15" s="28"/>
      <c r="H15" s="29"/>
      <c r="I15" s="29"/>
      <c r="J15" s="30"/>
      <c r="K15" s="30"/>
      <c r="L15" s="30"/>
      <c r="O15" s="28"/>
      <c r="P15" s="31"/>
      <c r="Q15" s="29"/>
      <c r="R15" s="29"/>
      <c r="S15" s="29"/>
      <c r="T15" s="29"/>
      <c r="U15" s="29"/>
      <c r="V15" s="32"/>
      <c r="W15" s="32"/>
      <c r="X15" s="29"/>
    </row>
    <row r="16" spans="1:24" ht="59.5" customHeight="1" x14ac:dyDescent="0.35">
      <c r="A16" s="497" t="s">
        <v>305</v>
      </c>
      <c r="B16" s="36"/>
      <c r="C16" s="164" t="s">
        <v>398</v>
      </c>
      <c r="D16" s="42" t="s">
        <v>312</v>
      </c>
      <c r="E16" s="40" t="s">
        <v>313</v>
      </c>
      <c r="F16" s="1"/>
      <c r="G16" s="1"/>
      <c r="H16" s="1"/>
      <c r="J16" s="6"/>
      <c r="K16" s="6"/>
      <c r="L16" s="6"/>
      <c r="M16" s="1"/>
      <c r="N16" s="1"/>
      <c r="O16" s="1"/>
      <c r="P16" s="1"/>
      <c r="Q16" s="1"/>
      <c r="R16" s="1"/>
      <c r="S16" s="1"/>
    </row>
    <row r="17" spans="1:19" x14ac:dyDescent="0.35">
      <c r="A17" s="497"/>
      <c r="B17" s="41" t="s">
        <v>56</v>
      </c>
      <c r="C17" s="162" t="str">
        <f>_xlfn.CONCAT(CurrentDollarYear, "$")</f>
        <v>2022$</v>
      </c>
      <c r="D17" s="44" t="str">
        <f>_xlfn.CONCAT(CurrentDollarYear, "$")</f>
        <v>2022$</v>
      </c>
      <c r="E17" s="45" t="str">
        <f>_xlfn.CONCAT(CurrentDollarYear, "$")</f>
        <v>2022$</v>
      </c>
      <c r="F17" s="1"/>
      <c r="G17" s="1"/>
      <c r="H17" s="1"/>
      <c r="J17" s="6"/>
      <c r="K17" s="6"/>
      <c r="L17" s="6"/>
      <c r="M17" s="1"/>
      <c r="N17" s="1"/>
      <c r="O17" s="1"/>
      <c r="P17" s="1"/>
      <c r="Q17" s="1"/>
      <c r="R17" s="1"/>
      <c r="S17" s="1"/>
    </row>
    <row r="18" spans="1:19" x14ac:dyDescent="0.35">
      <c r="A18" s="1">
        <f>'F.Params&amp;Assumptions(UserInput)'!F16</f>
        <v>2028</v>
      </c>
      <c r="B18" s="46">
        <v>1</v>
      </c>
      <c r="C18" s="163">
        <f>'5. Environmental Benefits_B'!C31*PavementDamagePerTonMile*InflationAdjustmentMultiplier</f>
        <v>122.5356288</v>
      </c>
      <c r="D18" s="47">
        <f t="shared" ref="D18:D27" si="0">SUM(C18:C18)</f>
        <v>122.5356288</v>
      </c>
      <c r="E18" s="48">
        <f t="shared" ref="E18:E27" si="1">$D18/(1+RealDiscountRate)^($A18-CurrentDollarYear)</f>
        <v>102.02589002335908</v>
      </c>
      <c r="F18" s="1"/>
      <c r="G18" s="1"/>
      <c r="H18" s="1"/>
      <c r="J18" s="6"/>
      <c r="K18" s="6"/>
      <c r="L18" s="6"/>
      <c r="M18" s="1"/>
      <c r="N18" s="1"/>
      <c r="O18" s="1"/>
      <c r="P18" s="1"/>
      <c r="Q18" s="1"/>
      <c r="R18" s="1"/>
      <c r="S18" s="1"/>
    </row>
    <row r="19" spans="1:19" x14ac:dyDescent="0.35">
      <c r="A19" s="1">
        <f>A18+1</f>
        <v>2029</v>
      </c>
      <c r="B19" s="55">
        <f>B18+1</f>
        <v>2</v>
      </c>
      <c r="C19" s="163">
        <f>'5. Environmental Benefits_B'!C32*PavementDamagePerTonMile*InflationAdjustmentMultiplier</f>
        <v>124.89811572326398</v>
      </c>
      <c r="D19" s="47">
        <f t="shared" si="0"/>
        <v>124.89811572326398</v>
      </c>
      <c r="E19" s="48">
        <f t="shared" si="1"/>
        <v>100.86610008051353</v>
      </c>
      <c r="F19" s="1"/>
      <c r="G19" s="1"/>
      <c r="H19" s="1"/>
      <c r="J19" s="6"/>
      <c r="K19" s="6"/>
      <c r="L19" s="6"/>
      <c r="M19" s="1"/>
      <c r="N19" s="1"/>
      <c r="O19" s="1"/>
      <c r="P19" s="1"/>
      <c r="Q19" s="1"/>
      <c r="R19" s="1"/>
      <c r="S19" s="1"/>
    </row>
    <row r="20" spans="1:19" x14ac:dyDescent="0.35">
      <c r="A20" s="1">
        <f t="shared" ref="A20:A27" si="2">A19+1</f>
        <v>2030</v>
      </c>
      <c r="B20" s="46">
        <f>B19+1</f>
        <v>3</v>
      </c>
      <c r="C20" s="163">
        <f>'5. Environmental Benefits_B'!C33*PavementDamagePerTonMile*InflationAdjustmentMultiplier</f>
        <v>127.30615139440853</v>
      </c>
      <c r="D20" s="47">
        <f t="shared" si="0"/>
        <v>127.30615139440853</v>
      </c>
      <c r="E20" s="48">
        <f t="shared" si="1"/>
        <v>99.71949417077191</v>
      </c>
      <c r="F20" s="1"/>
      <c r="G20" s="1"/>
      <c r="H20" s="1"/>
      <c r="J20" s="6"/>
      <c r="K20" s="6"/>
      <c r="L20" s="6"/>
      <c r="M20" s="1"/>
      <c r="N20" s="1"/>
      <c r="O20" s="1"/>
      <c r="P20" s="1"/>
      <c r="Q20" s="1"/>
      <c r="R20" s="1"/>
      <c r="S20" s="1"/>
    </row>
    <row r="21" spans="1:19" x14ac:dyDescent="0.35">
      <c r="A21" s="1">
        <f t="shared" si="2"/>
        <v>2031</v>
      </c>
      <c r="B21" s="46">
        <f t="shared" ref="B21:B27" si="3">B20+1</f>
        <v>4</v>
      </c>
      <c r="C21" s="163">
        <f>'5. Environmental Benefits_B'!C34*PavementDamagePerTonMile*InflationAdjustmentMultiplier</f>
        <v>129.76061399329274</v>
      </c>
      <c r="D21" s="47">
        <f t="shared" si="0"/>
        <v>129.76061399329274</v>
      </c>
      <c r="E21" s="48">
        <f t="shared" si="1"/>
        <v>98.585922423263256</v>
      </c>
      <c r="F21" s="1"/>
      <c r="G21" s="1"/>
      <c r="H21" s="1"/>
      <c r="J21" s="6"/>
      <c r="K21" s="6"/>
      <c r="L21" s="6"/>
      <c r="M21" s="1"/>
      <c r="N21" s="1"/>
      <c r="O21" s="1"/>
      <c r="P21" s="1"/>
      <c r="Q21" s="1"/>
      <c r="R21" s="1"/>
      <c r="S21" s="1"/>
    </row>
    <row r="22" spans="1:19" x14ac:dyDescent="0.35">
      <c r="A22" s="1">
        <f t="shared" si="2"/>
        <v>2032</v>
      </c>
      <c r="B22" s="46">
        <f t="shared" si="3"/>
        <v>5</v>
      </c>
      <c r="C22" s="163">
        <f>'5. Environmental Benefits_B'!C35*PavementDamagePerTonMile*InflationAdjustmentMultiplier</f>
        <v>132.26239863108339</v>
      </c>
      <c r="D22" s="47">
        <f t="shared" si="0"/>
        <v>132.26239863108339</v>
      </c>
      <c r="E22" s="48">
        <f t="shared" si="1"/>
        <v>97.465236670789281</v>
      </c>
      <c r="F22" s="1"/>
      <c r="G22" s="1"/>
      <c r="H22" s="1"/>
      <c r="J22" s="6"/>
      <c r="K22" s="6"/>
      <c r="L22" s="6"/>
      <c r="M22" s="1"/>
      <c r="N22" s="1"/>
      <c r="O22" s="1"/>
      <c r="P22" s="1"/>
      <c r="Q22" s="1"/>
      <c r="R22" s="1"/>
      <c r="S22" s="1"/>
    </row>
    <row r="23" spans="1:19" x14ac:dyDescent="0.35">
      <c r="A23" s="1">
        <f t="shared" si="2"/>
        <v>2033</v>
      </c>
      <c r="B23" s="46">
        <f t="shared" si="3"/>
        <v>6</v>
      </c>
      <c r="C23" s="163">
        <f>'5. Environmental Benefits_B'!C36*PavementDamagePerTonMile*InflationAdjustmentMultiplier</f>
        <v>134.8124176766907</v>
      </c>
      <c r="D23" s="47">
        <f t="shared" si="0"/>
        <v>134.8124176766907</v>
      </c>
      <c r="E23" s="48">
        <f t="shared" si="1"/>
        <v>96.357290430457937</v>
      </c>
      <c r="F23" s="1"/>
      <c r="G23" s="1"/>
      <c r="H23" s="1"/>
      <c r="J23" s="6"/>
      <c r="K23" s="6"/>
      <c r="L23" s="6"/>
      <c r="M23" s="1"/>
      <c r="N23" s="1"/>
      <c r="O23" s="1"/>
      <c r="P23" s="1"/>
      <c r="Q23" s="1"/>
      <c r="R23" s="1"/>
      <c r="S23" s="1"/>
    </row>
    <row r="24" spans="1:19" x14ac:dyDescent="0.35">
      <c r="A24" s="1">
        <f t="shared" si="2"/>
        <v>2034</v>
      </c>
      <c r="B24" s="46">
        <f t="shared" si="3"/>
        <v>7</v>
      </c>
      <c r="C24" s="163">
        <f>'5. Environmental Benefits_B'!C37*PavementDamagePerTonMile*InflationAdjustmentMultiplier</f>
        <v>137.41160108949728</v>
      </c>
      <c r="D24" s="47">
        <f t="shared" si="0"/>
        <v>137.41160108949728</v>
      </c>
      <c r="E24" s="48">
        <f t="shared" si="1"/>
        <v>95.261938884536505</v>
      </c>
      <c r="F24" s="1"/>
      <c r="G24" s="1"/>
      <c r="H24" s="1"/>
      <c r="J24" s="6"/>
      <c r="K24" s="6"/>
      <c r="L24" s="6"/>
      <c r="M24" s="1"/>
      <c r="N24" s="1"/>
      <c r="O24" s="1"/>
      <c r="P24" s="1"/>
      <c r="Q24" s="1"/>
      <c r="R24" s="1"/>
      <c r="S24" s="1"/>
    </row>
    <row r="25" spans="1:19" x14ac:dyDescent="0.35">
      <c r="A25" s="1">
        <f t="shared" si="2"/>
        <v>2035</v>
      </c>
      <c r="B25" s="46">
        <f t="shared" si="3"/>
        <v>8</v>
      </c>
      <c r="C25" s="163">
        <f>'5. Environmental Benefits_B'!C38*PavementDamagePerTonMile*InflationAdjustmentMultiplier</f>
        <v>140.06089675850279</v>
      </c>
      <c r="D25" s="47">
        <f t="shared" si="0"/>
        <v>140.06089675850279</v>
      </c>
      <c r="E25" s="48">
        <f t="shared" si="1"/>
        <v>94.179038861523168</v>
      </c>
      <c r="F25" s="1"/>
      <c r="G25" s="1"/>
      <c r="H25" s="1"/>
      <c r="J25" s="6"/>
      <c r="K25" s="6"/>
      <c r="L25" s="6"/>
      <c r="M25" s="1"/>
      <c r="N25" s="1"/>
      <c r="O25" s="1"/>
      <c r="P25" s="1"/>
      <c r="Q25" s="1"/>
      <c r="R25" s="1"/>
      <c r="S25" s="1"/>
    </row>
    <row r="26" spans="1:19" x14ac:dyDescent="0.35">
      <c r="A26" s="1">
        <f t="shared" si="2"/>
        <v>2036</v>
      </c>
      <c r="B26" s="46">
        <f t="shared" si="3"/>
        <v>9</v>
      </c>
      <c r="C26" s="163">
        <f>'5. Environmental Benefits_B'!C39*PavementDamagePerTonMile*InflationAdjustmentMultiplier</f>
        <v>142.76127084800672</v>
      </c>
      <c r="D26" s="47">
        <f t="shared" si="0"/>
        <v>142.76127084800672</v>
      </c>
      <c r="E26" s="48">
        <f t="shared" si="1"/>
        <v>93.108448817432915</v>
      </c>
      <c r="F26" s="1"/>
      <c r="G26" s="1"/>
      <c r="H26" s="1"/>
      <c r="J26" s="6"/>
      <c r="K26" s="6"/>
      <c r="L26" s="6"/>
      <c r="M26" s="1"/>
      <c r="N26" s="1"/>
      <c r="O26" s="1"/>
      <c r="P26" s="1"/>
      <c r="Q26" s="1"/>
      <c r="R26" s="1"/>
      <c r="S26" s="1"/>
    </row>
    <row r="27" spans="1:19" x14ac:dyDescent="0.35">
      <c r="A27" s="1">
        <f t="shared" si="2"/>
        <v>2037</v>
      </c>
      <c r="B27" s="46">
        <f t="shared" si="3"/>
        <v>10</v>
      </c>
      <c r="C27" s="163">
        <f>'5. Environmental Benefits_B'!C40*PavementDamagePerTonMile*InflationAdjustmentMultiplier</f>
        <v>145.5137081499563</v>
      </c>
      <c r="D27" s="47">
        <f t="shared" si="0"/>
        <v>145.5137081499563</v>
      </c>
      <c r="E27" s="48">
        <f t="shared" si="1"/>
        <v>92.050028817296834</v>
      </c>
      <c r="F27" s="1"/>
      <c r="G27" s="1"/>
      <c r="H27" s="1"/>
      <c r="J27" s="6"/>
      <c r="K27" s="6"/>
      <c r="L27" s="6"/>
      <c r="M27" s="1"/>
      <c r="N27" s="1"/>
      <c r="O27" s="1"/>
      <c r="P27" s="1"/>
      <c r="Q27" s="1"/>
      <c r="R27" s="1"/>
      <c r="S27" s="1"/>
    </row>
    <row r="28" spans="1:19" x14ac:dyDescent="0.35">
      <c r="F28" s="1"/>
      <c r="G28" s="1"/>
      <c r="H28" s="1"/>
    </row>
    <row r="29" spans="1:19" x14ac:dyDescent="0.35">
      <c r="A29" s="1"/>
      <c r="B29" s="56" t="s">
        <v>71</v>
      </c>
      <c r="C29" s="57"/>
      <c r="D29" s="57"/>
      <c r="E29" s="59">
        <f>SUM(E18:E27)</f>
        <v>969.61938917994439</v>
      </c>
      <c r="H29" s="6"/>
      <c r="I29" s="6"/>
      <c r="J29" s="6"/>
    </row>
    <row r="31" spans="1:19" ht="10.15" customHeight="1" x14ac:dyDescent="0.35"/>
  </sheetData>
  <mergeCells count="3">
    <mergeCell ref="B8:K8"/>
    <mergeCell ref="B10:K10"/>
    <mergeCell ref="A16:A1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0EAE-1F50-422B-97CA-C9DEA67F01C3}">
  <sheetPr>
    <tabColor rgb="FF0070C0"/>
  </sheetPr>
  <dimension ref="A1:N20"/>
  <sheetViews>
    <sheetView zoomScale="115" zoomScaleNormal="115" workbookViewId="0">
      <selection activeCell="B9" sqref="B9"/>
    </sheetView>
  </sheetViews>
  <sheetFormatPr defaultRowHeight="14.5" x14ac:dyDescent="0.35"/>
  <cols>
    <col min="1" max="1" width="50.81640625" customWidth="1"/>
    <col min="2" max="2" width="18.26953125" customWidth="1"/>
    <col min="3" max="3" width="19.26953125" customWidth="1"/>
    <col min="4" max="4" width="15.453125" customWidth="1"/>
    <col min="5" max="5" width="15" customWidth="1"/>
    <col min="6" max="6" width="15.453125" customWidth="1"/>
    <col min="7" max="7" width="16.26953125" customWidth="1"/>
    <col min="8" max="8" width="16.453125" customWidth="1"/>
    <col min="9" max="9" width="13.7265625" customWidth="1"/>
  </cols>
  <sheetData>
    <row r="1" spans="1:14" s="1" customFormat="1" ht="20" x14ac:dyDescent="0.4">
      <c r="A1" s="2" t="s">
        <v>399</v>
      </c>
      <c r="C1" s="3"/>
      <c r="D1" s="5"/>
      <c r="E1" s="6"/>
      <c r="F1" s="6"/>
      <c r="H1" s="6"/>
      <c r="I1" s="6"/>
      <c r="J1" s="6"/>
      <c r="L1" s="2"/>
      <c r="M1" s="3"/>
      <c r="N1" s="4"/>
    </row>
    <row r="2" spans="1:14" s="1" customFormat="1" ht="12.5" x14ac:dyDescent="0.25">
      <c r="A2" s="3"/>
      <c r="C2" s="3"/>
      <c r="D2" s="4"/>
      <c r="E2" s="6"/>
      <c r="F2" s="6"/>
      <c r="H2" s="6"/>
      <c r="I2" s="6"/>
      <c r="J2" s="6"/>
      <c r="L2" s="3"/>
      <c r="M2" s="3"/>
      <c r="N2" s="4"/>
    </row>
    <row r="3" spans="1:14" s="1" customFormat="1" ht="17.5" x14ac:dyDescent="0.25">
      <c r="A3" s="7" t="s">
        <v>400</v>
      </c>
      <c r="D3" s="8"/>
      <c r="E3" s="9"/>
      <c r="F3" s="8"/>
      <c r="G3" s="9"/>
      <c r="H3" s="9"/>
      <c r="I3" s="8"/>
      <c r="J3" s="8"/>
      <c r="L3" s="7"/>
      <c r="N3" s="8"/>
    </row>
    <row r="4" spans="1:14" ht="17.5" x14ac:dyDescent="0.35">
      <c r="A4" s="7" t="s">
        <v>34</v>
      </c>
    </row>
    <row r="6" spans="1:14" ht="30.75" customHeight="1" x14ac:dyDescent="0.35">
      <c r="A6" s="494" t="s">
        <v>401</v>
      </c>
      <c r="B6" s="495" t="s">
        <v>279</v>
      </c>
      <c r="C6" s="495"/>
      <c r="D6" s="495"/>
      <c r="E6" s="495"/>
      <c r="F6" s="496" t="s">
        <v>220</v>
      </c>
      <c r="G6" s="496"/>
      <c r="H6" s="496"/>
      <c r="I6" s="496"/>
    </row>
    <row r="7" spans="1:14" x14ac:dyDescent="0.35">
      <c r="A7" s="494"/>
      <c r="B7" s="495" t="s">
        <v>280</v>
      </c>
      <c r="C7" s="495"/>
      <c r="D7" s="495" t="s">
        <v>281</v>
      </c>
      <c r="E7" s="495"/>
      <c r="F7" s="495" t="s">
        <v>280</v>
      </c>
      <c r="G7" s="495"/>
      <c r="H7" s="495" t="s">
        <v>281</v>
      </c>
      <c r="I7" s="495"/>
    </row>
    <row r="8" spans="1:14" ht="37.5" x14ac:dyDescent="0.35">
      <c r="A8" s="494"/>
      <c r="B8" s="158" t="s">
        <v>282</v>
      </c>
      <c r="C8" s="158" t="s">
        <v>402</v>
      </c>
      <c r="D8" s="158" t="s">
        <v>282</v>
      </c>
      <c r="E8" s="158" t="s">
        <v>283</v>
      </c>
      <c r="F8" s="158" t="s">
        <v>403</v>
      </c>
      <c r="G8" s="158" t="s">
        <v>402</v>
      </c>
      <c r="H8" s="158" t="s">
        <v>284</v>
      </c>
      <c r="I8" s="158" t="s">
        <v>402</v>
      </c>
    </row>
    <row r="9" spans="1:14" x14ac:dyDescent="0.35">
      <c r="A9" s="221" t="s">
        <v>286</v>
      </c>
      <c r="B9" s="278">
        <f>'App1_Crash Summary (User Input)'!B15*CrashReducFatigueCorridor/'App1_Crash Summary (User Input)'!$B$10</f>
        <v>0</v>
      </c>
      <c r="C9" s="278">
        <f>'App1_Crash Summary (User Input)'!C15*CrashReducFatigueCorridor/'App1_Crash Summary (User Input)'!$B$10</f>
        <v>0</v>
      </c>
      <c r="D9" s="278">
        <f>'App1_Crash Summary (User Input)'!D15*CrashReducFatigueCorridor/'App1_Crash Summary (User Input)'!$B$10</f>
        <v>0</v>
      </c>
      <c r="E9" s="278">
        <f>'App1_Crash Summary (User Input)'!E15*CrashReducFatigueCorridor/'App1_Crash Summary (User Input)'!$B$10</f>
        <v>0</v>
      </c>
      <c r="F9" s="278">
        <f>'App1_Crash Summary (User Input)'!F15*CrashReducFatigueNearby/'App1_Crash Summary (User Input)'!$B$10</f>
        <v>0</v>
      </c>
      <c r="G9" s="278">
        <f>'App1_Crash Summary (User Input)'!G15*CrashReducIllegalNearby/'App1_Crash Summary (User Input)'!$B$10</f>
        <v>0</v>
      </c>
      <c r="H9" s="278">
        <f>'App1_Crash Summary (User Input)'!H15*CrashReducFatigueNearby/'App1_Crash Summary (User Input)'!$B$10</f>
        <v>0</v>
      </c>
      <c r="I9" s="278">
        <f>'App1_Crash Summary (User Input)'!I15*CrashReducFatigueNearby/'App1_Crash Summary (User Input)'!$B$10</f>
        <v>0</v>
      </c>
    </row>
    <row r="10" spans="1:14" x14ac:dyDescent="0.35">
      <c r="A10" s="159" t="s">
        <v>287</v>
      </c>
      <c r="B10" s="278">
        <f>'App1_Crash Summary (User Input)'!B16*CrashReducFatigueCorridor/'App1_Crash Summary (User Input)'!$B$10</f>
        <v>0</v>
      </c>
      <c r="C10" s="278">
        <f>'App1_Crash Summary (User Input)'!C16*CrashReducFatigueCorridor/'App1_Crash Summary (User Input)'!$B$10</f>
        <v>0</v>
      </c>
      <c r="D10" s="278">
        <f>'App1_Crash Summary (User Input)'!D16*CrashReducFatigueCorridor/'App1_Crash Summary (User Input)'!$B$10</f>
        <v>5.000000000000001E-3</v>
      </c>
      <c r="E10" s="278">
        <f>'App1_Crash Summary (User Input)'!E16*CrashReducFatigueCorridor/'App1_Crash Summary (User Input)'!$B$10</f>
        <v>0</v>
      </c>
      <c r="F10" s="278">
        <f>'App1_Crash Summary (User Input)'!F16*CrashReducFatigueNearby/'App1_Crash Summary (User Input)'!$B$10</f>
        <v>0</v>
      </c>
      <c r="G10" s="278">
        <f>'App1_Crash Summary (User Input)'!G16*CrashReducIllegalNearby/'App1_Crash Summary (User Input)'!$B$10</f>
        <v>0</v>
      </c>
      <c r="H10" s="278">
        <f>'App1_Crash Summary (User Input)'!H16*CrashReducFatigueNearby/'App1_Crash Summary (User Input)'!$B$10</f>
        <v>0</v>
      </c>
      <c r="I10" s="278">
        <f>'App1_Crash Summary (User Input)'!I16*CrashReducFatigueNearby/'App1_Crash Summary (User Input)'!$B$10</f>
        <v>0</v>
      </c>
    </row>
    <row r="11" spans="1:14" x14ac:dyDescent="0.35">
      <c r="A11" s="221" t="s">
        <v>288</v>
      </c>
      <c r="B11" s="278">
        <f>'App1_Crash Summary (User Input)'!B17*CrashReducFatigueCorridor/'App1_Crash Summary (User Input)'!$B$10</f>
        <v>0</v>
      </c>
      <c r="C11" s="278">
        <f>'App1_Crash Summary (User Input)'!C17*CrashReducFatigueCorridor/'App1_Crash Summary (User Input)'!$B$10</f>
        <v>0</v>
      </c>
      <c r="D11" s="278">
        <f>'App1_Crash Summary (User Input)'!D17*CrashReducFatigueCorridor/'App1_Crash Summary (User Input)'!$B$10</f>
        <v>5.000000000000001E-3</v>
      </c>
      <c r="E11" s="278">
        <f>'App1_Crash Summary (User Input)'!E17*CrashReducFatigueCorridor/'App1_Crash Summary (User Input)'!$B$10</f>
        <v>0</v>
      </c>
      <c r="F11" s="278">
        <f>'App1_Crash Summary (User Input)'!F17*CrashReducFatigueNearby/'App1_Crash Summary (User Input)'!$B$10</f>
        <v>0</v>
      </c>
      <c r="G11" s="278">
        <f>'App1_Crash Summary (User Input)'!G17*CrashReducIllegalNearby/'App1_Crash Summary (User Input)'!$B$10</f>
        <v>0</v>
      </c>
      <c r="H11" s="278">
        <f>'App1_Crash Summary (User Input)'!H17*CrashReducFatigueNearby/'App1_Crash Summary (User Input)'!$B$10</f>
        <v>0</v>
      </c>
      <c r="I11" s="278">
        <f>'App1_Crash Summary (User Input)'!I17*CrashReducFatigueNearby/'App1_Crash Summary (User Input)'!$B$10</f>
        <v>0</v>
      </c>
    </row>
    <row r="12" spans="1:14" x14ac:dyDescent="0.35">
      <c r="A12" s="159" t="s">
        <v>234</v>
      </c>
      <c r="B12" s="278">
        <f>'App1_Crash Summary (User Input)'!B18*CrashReducFatigueCorridor/'App1_Crash Summary (User Input)'!$B$10</f>
        <v>0</v>
      </c>
      <c r="C12" s="278">
        <f>'App1_Crash Summary (User Input)'!C18*CrashReducFatigueCorridor/'App1_Crash Summary (User Input)'!$B$10</f>
        <v>0</v>
      </c>
      <c r="D12" s="278">
        <f>'App1_Crash Summary (User Input)'!D18*CrashReducFatigueCorridor/'App1_Crash Summary (User Input)'!$B$10</f>
        <v>0</v>
      </c>
      <c r="E12" s="278">
        <f>'App1_Crash Summary (User Input)'!E18*CrashReducFatigueCorridor/'App1_Crash Summary (User Input)'!$B$10</f>
        <v>0</v>
      </c>
      <c r="F12" s="278">
        <f>'App1_Crash Summary (User Input)'!F18*CrashReducFatigueNearby/'App1_Crash Summary (User Input)'!$B$10</f>
        <v>0</v>
      </c>
      <c r="G12" s="278">
        <f>'App1_Crash Summary (User Input)'!G18*CrashReducIllegalNearby/'App1_Crash Summary (User Input)'!$B$10</f>
        <v>0</v>
      </c>
      <c r="H12" s="278">
        <f>'App1_Crash Summary (User Input)'!H18*CrashReducFatigueNearby/'App1_Crash Summary (User Input)'!$B$10</f>
        <v>0</v>
      </c>
      <c r="I12" s="278">
        <f>'App1_Crash Summary (User Input)'!I18*CrashReducFatigueNearby/'App1_Crash Summary (User Input)'!$B$10</f>
        <v>0</v>
      </c>
    </row>
    <row r="13" spans="1:14" x14ac:dyDescent="0.35">
      <c r="A13" s="221" t="s">
        <v>289</v>
      </c>
      <c r="B13" s="278">
        <f>'App1_Crash Summary (User Input)'!B19*CrashReducFatigueCorridor/'App1_Crash Summary (User Input)'!$B$10</f>
        <v>0</v>
      </c>
      <c r="C13" s="278">
        <f>'App1_Crash Summary (User Input)'!C19*CrashReducFatigueCorridor/'App1_Crash Summary (User Input)'!$B$10</f>
        <v>0</v>
      </c>
      <c r="D13" s="278">
        <f>'App1_Crash Summary (User Input)'!D19*CrashReducFatigueCorridor/'App1_Crash Summary (User Input)'!$B$10</f>
        <v>2.0000000000000004E-2</v>
      </c>
      <c r="E13" s="278">
        <f>'App1_Crash Summary (User Input)'!E19*CrashReducFatigueCorridor/'App1_Crash Summary (User Input)'!$B$10</f>
        <v>5.000000000000001E-3</v>
      </c>
      <c r="F13" s="278">
        <f>'App1_Crash Summary (User Input)'!F19*CrashReducFatigueNearby/'App1_Crash Summary (User Input)'!$B$10</f>
        <v>0</v>
      </c>
      <c r="G13" s="278">
        <f>'App1_Crash Summary (User Input)'!G19*CrashReducIllegalNearby/'App1_Crash Summary (User Input)'!$B$10</f>
        <v>0</v>
      </c>
      <c r="H13" s="278">
        <f>'App1_Crash Summary (User Input)'!H19*CrashReducFatigueNearby/'App1_Crash Summary (User Input)'!$B$10</f>
        <v>0.02</v>
      </c>
      <c r="I13" s="278">
        <f>'App1_Crash Summary (User Input)'!I19*CrashReducFatigueNearby/'App1_Crash Summary (User Input)'!$B$10</f>
        <v>0</v>
      </c>
    </row>
    <row r="14" spans="1:14" x14ac:dyDescent="0.35">
      <c r="A14" s="159" t="s">
        <v>236</v>
      </c>
      <c r="B14" s="278">
        <f>'App1_Crash Summary (User Input)'!B20*CrashReducFatigueCorridor/'App1_Crash Summary (User Input)'!$B$10</f>
        <v>0</v>
      </c>
      <c r="C14" s="278">
        <f>'App1_Crash Summary (User Input)'!C20*CrashReducFatigueCorridor/'App1_Crash Summary (User Input)'!$B$10</f>
        <v>0</v>
      </c>
      <c r="D14" s="278">
        <f>'App1_Crash Summary (User Input)'!D20*CrashReducFatigueCorridor/'App1_Crash Summary (User Input)'!$B$10</f>
        <v>0</v>
      </c>
      <c r="E14" s="278">
        <f>'App1_Crash Summary (User Input)'!E20*CrashReducFatigueCorridor/'App1_Crash Summary (User Input)'!$B$10</f>
        <v>0</v>
      </c>
      <c r="F14" s="278">
        <f>'App1_Crash Summary (User Input)'!F20*CrashReducFatigueNearby/'App1_Crash Summary (User Input)'!$B$10</f>
        <v>0</v>
      </c>
      <c r="G14" s="278">
        <f>'App1_Crash Summary (User Input)'!G20*CrashReducIllegalNearby/'App1_Crash Summary (User Input)'!$B$10</f>
        <v>0</v>
      </c>
      <c r="H14" s="278">
        <f>'App1_Crash Summary (User Input)'!H20*CrashReducFatigueNearby/'App1_Crash Summary (User Input)'!$B$10</f>
        <v>0</v>
      </c>
      <c r="I14" s="278">
        <f>'App1_Crash Summary (User Input)'!I20*CrashReducFatigueNearby/'App1_Crash Summary (User Input)'!$B$10</f>
        <v>0</v>
      </c>
    </row>
    <row r="15" spans="1:14" x14ac:dyDescent="0.35">
      <c r="A15" s="160" t="s">
        <v>71</v>
      </c>
      <c r="B15" s="279">
        <f t="shared" ref="B15:I15" si="0">SUM(B9:B14)</f>
        <v>0</v>
      </c>
      <c r="C15" s="279">
        <f t="shared" si="0"/>
        <v>0</v>
      </c>
      <c r="D15" s="279">
        <f t="shared" si="0"/>
        <v>3.0000000000000006E-2</v>
      </c>
      <c r="E15" s="279">
        <f t="shared" si="0"/>
        <v>5.000000000000001E-3</v>
      </c>
      <c r="F15" s="279">
        <f t="shared" si="0"/>
        <v>0</v>
      </c>
      <c r="G15" s="279">
        <f t="shared" si="0"/>
        <v>0</v>
      </c>
      <c r="H15" s="279">
        <f t="shared" si="0"/>
        <v>0.02</v>
      </c>
      <c r="I15" s="279">
        <f t="shared" si="0"/>
        <v>0</v>
      </c>
      <c r="J15" s="222">
        <f>SUM(B15:I15)</f>
        <v>5.5000000000000007E-2</v>
      </c>
      <c r="K15" s="222">
        <f>SUM(B9:I13)</f>
        <v>5.5000000000000007E-2</v>
      </c>
    </row>
    <row r="20" spans="1:9" x14ac:dyDescent="0.35">
      <c r="A20" s="223"/>
      <c r="B20" s="223"/>
      <c r="C20" s="223"/>
      <c r="D20" s="223"/>
      <c r="E20" s="223"/>
      <c r="F20" s="223"/>
      <c r="G20" s="223"/>
      <c r="H20" s="223"/>
      <c r="I20" s="223"/>
    </row>
  </sheetData>
  <mergeCells count="7">
    <mergeCell ref="A6:A8"/>
    <mergeCell ref="B6:E6"/>
    <mergeCell ref="F6:I6"/>
    <mergeCell ref="B7:C7"/>
    <mergeCell ref="D7:E7"/>
    <mergeCell ref="F7:G7"/>
    <mergeCell ref="H7:I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1BAF5-CCF2-4AC7-A71E-D1635AD569D7}">
  <sheetPr>
    <tabColor rgb="FF0070C0"/>
  </sheetPr>
  <dimension ref="A1:N16"/>
  <sheetViews>
    <sheetView zoomScale="130" zoomScaleNormal="130" workbookViewId="0">
      <selection activeCell="B9" sqref="B9"/>
    </sheetView>
  </sheetViews>
  <sheetFormatPr defaultRowHeight="14.5" x14ac:dyDescent="0.35"/>
  <cols>
    <col min="1" max="1" width="39.26953125" customWidth="1"/>
    <col min="2" max="2" width="18.26953125" customWidth="1"/>
    <col min="3" max="3" width="15.453125" customWidth="1"/>
    <col min="4" max="4" width="28.26953125" customWidth="1"/>
    <col min="5" max="5" width="30" customWidth="1"/>
  </cols>
  <sheetData>
    <row r="1" spans="1:14" s="1" customFormat="1" ht="20" x14ac:dyDescent="0.4">
      <c r="A1" s="2" t="s">
        <v>404</v>
      </c>
      <c r="C1" s="3"/>
      <c r="D1" s="5"/>
      <c r="E1" s="6"/>
      <c r="F1" s="6"/>
      <c r="H1" s="6"/>
      <c r="I1" s="6"/>
      <c r="J1" s="6"/>
      <c r="L1" s="2"/>
      <c r="M1" s="3"/>
      <c r="N1" s="4"/>
    </row>
    <row r="2" spans="1:14" s="1" customFormat="1" ht="12.5" x14ac:dyDescent="0.25">
      <c r="A2" s="3"/>
      <c r="C2" s="3"/>
      <c r="D2" s="4"/>
      <c r="E2" s="6"/>
      <c r="F2" s="6"/>
      <c r="H2" s="6"/>
      <c r="I2" s="6"/>
      <c r="J2" s="6"/>
      <c r="L2" s="3"/>
      <c r="M2" s="3"/>
      <c r="N2" s="4"/>
    </row>
    <row r="3" spans="1:14" s="1" customFormat="1" ht="17.5" x14ac:dyDescent="0.25">
      <c r="A3" s="7" t="s">
        <v>405</v>
      </c>
      <c r="D3" s="8"/>
      <c r="E3" s="9"/>
      <c r="F3" s="8"/>
      <c r="G3" s="9"/>
      <c r="H3" s="9"/>
      <c r="I3" s="8"/>
      <c r="J3" s="8"/>
      <c r="L3" s="7"/>
      <c r="N3" s="8"/>
    </row>
    <row r="4" spans="1:14" ht="17.5" x14ac:dyDescent="0.35">
      <c r="A4" s="7" t="s">
        <v>34</v>
      </c>
    </row>
    <row r="6" spans="1:14" ht="37.9" customHeight="1" x14ac:dyDescent="0.35">
      <c r="A6" s="514" t="s">
        <v>406</v>
      </c>
      <c r="B6" s="516" t="s">
        <v>279</v>
      </c>
      <c r="C6" s="517"/>
      <c r="D6" s="518" t="s">
        <v>220</v>
      </c>
      <c r="E6" s="519"/>
      <c r="F6" s="520" t="s">
        <v>71</v>
      </c>
    </row>
    <row r="7" spans="1:14" x14ac:dyDescent="0.35">
      <c r="A7" s="515"/>
      <c r="B7" s="236" t="s">
        <v>280</v>
      </c>
      <c r="C7" s="236" t="s">
        <v>281</v>
      </c>
      <c r="D7" s="236" t="s">
        <v>280</v>
      </c>
      <c r="E7" s="236" t="s">
        <v>281</v>
      </c>
      <c r="F7" s="520"/>
    </row>
    <row r="8" spans="1:14" x14ac:dyDescent="0.35">
      <c r="A8" s="221" t="s">
        <v>210</v>
      </c>
      <c r="B8" s="367">
        <f>SUM('App_2_Annual Crash Reduction_A'!B9:C9)</f>
        <v>0</v>
      </c>
      <c r="C8" s="367">
        <f>SUM('App_2_Annual Crash Reduction_A'!D9:E9)</f>
        <v>0</v>
      </c>
      <c r="D8" s="367">
        <f>SUM('App_2_Annual Crash Reduction_A'!F9:G9)</f>
        <v>0</v>
      </c>
      <c r="E8" s="367">
        <f>SUM('App_2_Annual Crash Reduction_A'!H9:I9)</f>
        <v>0</v>
      </c>
      <c r="F8" s="222">
        <f>SUM(B8:E8)</f>
        <v>0</v>
      </c>
    </row>
    <row r="9" spans="1:14" x14ac:dyDescent="0.35">
      <c r="A9" s="159" t="s">
        <v>211</v>
      </c>
      <c r="B9" s="367">
        <f>SUM('App_2_Annual Crash Reduction_A'!B10:C12)</f>
        <v>0</v>
      </c>
      <c r="C9" s="367">
        <f>SUM('App_2_Annual Crash Reduction_A'!D10:E12)</f>
        <v>1.0000000000000002E-2</v>
      </c>
      <c r="D9" s="367">
        <f>SUM('App_2_Annual Crash Reduction_A'!F10:G10)</f>
        <v>0</v>
      </c>
      <c r="E9" s="367">
        <f>SUM('App_2_Annual Crash Reduction_A'!H10:I10)</f>
        <v>0</v>
      </c>
      <c r="F9" s="222">
        <f>SUM(B9:E9)</f>
        <v>1.0000000000000002E-2</v>
      </c>
    </row>
    <row r="10" spans="1:14" x14ac:dyDescent="0.35">
      <c r="A10" s="221" t="s">
        <v>212</v>
      </c>
      <c r="B10" s="367">
        <f>SUM('App_2_Annual Crash Reduction_A'!B13:C13)</f>
        <v>0</v>
      </c>
      <c r="C10" s="367">
        <f>SUM('App_2_Annual Crash Reduction_A'!D13:E13)</f>
        <v>2.5000000000000005E-2</v>
      </c>
      <c r="D10" s="367">
        <f>SUM('App_2_Annual Crash Reduction_A'!F11:G11)</f>
        <v>0</v>
      </c>
      <c r="E10" s="367">
        <f>SUM('App_2_Annual Crash Reduction_A'!H11:I11)</f>
        <v>0</v>
      </c>
      <c r="F10" s="222">
        <f>SUM(B10:E10)</f>
        <v>2.5000000000000005E-2</v>
      </c>
    </row>
    <row r="11" spans="1:14" x14ac:dyDescent="0.35">
      <c r="A11" s="221" t="s">
        <v>407</v>
      </c>
      <c r="B11" s="367">
        <f>SUM('App_2_Annual Crash Reduction_A'!B14:C14)</f>
        <v>0</v>
      </c>
      <c r="C11" s="367">
        <f>SUM('App_2_Annual Crash Reduction_A'!D14:E14)</f>
        <v>0</v>
      </c>
      <c r="D11" s="367">
        <f>SUM('App_2_Annual Crash Reduction_A'!F12:G12)</f>
        <v>0</v>
      </c>
      <c r="E11" s="367">
        <f>SUM('App_2_Annual Crash Reduction_A'!H12:I12)</f>
        <v>0</v>
      </c>
      <c r="F11" s="222">
        <f>SUM(B11:E11)</f>
        <v>0</v>
      </c>
    </row>
    <row r="12" spans="1:14" x14ac:dyDescent="0.35">
      <c r="A12" s="160" t="s">
        <v>71</v>
      </c>
      <c r="B12" s="368">
        <f>SUM(B8:B11)</f>
        <v>0</v>
      </c>
      <c r="C12" s="368">
        <f>SUM(C8:C11)</f>
        <v>3.5000000000000003E-2</v>
      </c>
      <c r="D12" s="368">
        <f>SUM(D8:D11)</f>
        <v>0</v>
      </c>
      <c r="E12" s="368">
        <f>SUM(E8:E11)</f>
        <v>0</v>
      </c>
      <c r="F12" s="222">
        <f>SUM(F8:F11)</f>
        <v>3.5000000000000003E-2</v>
      </c>
      <c r="G12" s="237">
        <f>SUM(B8:E10)</f>
        <v>3.5000000000000003E-2</v>
      </c>
    </row>
    <row r="14" spans="1:14" x14ac:dyDescent="0.35">
      <c r="A14" s="223"/>
      <c r="B14" s="223"/>
      <c r="C14" s="223"/>
      <c r="D14" s="223"/>
      <c r="E14" s="223"/>
    </row>
    <row r="16" spans="1:14" x14ac:dyDescent="0.35">
      <c r="F16" s="222"/>
    </row>
  </sheetData>
  <mergeCells count="4">
    <mergeCell ref="A6:A7"/>
    <mergeCell ref="B6:C6"/>
    <mergeCell ref="D6:E6"/>
    <mergeCell ref="F6:F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3735-DC05-484C-ACB7-3D942BB87D3A}">
  <sheetPr>
    <tabColor rgb="FF0070C0"/>
  </sheetPr>
  <dimension ref="A1:N22"/>
  <sheetViews>
    <sheetView zoomScaleNormal="100" workbookViewId="0">
      <selection activeCell="I15" sqref="I15"/>
    </sheetView>
  </sheetViews>
  <sheetFormatPr defaultRowHeight="14.5" x14ac:dyDescent="0.35"/>
  <cols>
    <col min="1" max="1" width="39.26953125" customWidth="1"/>
    <col min="2" max="2" width="18.26953125" customWidth="1"/>
    <col min="3" max="3" width="19.26953125" customWidth="1"/>
    <col min="4" max="4" width="15.453125" customWidth="1"/>
    <col min="5" max="5" width="15" customWidth="1"/>
    <col min="6" max="6" width="15.453125" customWidth="1"/>
    <col min="7" max="7" width="16.26953125" customWidth="1"/>
    <col min="8" max="8" width="14.7265625" customWidth="1"/>
    <col min="9" max="9" width="12.26953125" customWidth="1"/>
    <col min="10" max="10" width="11.7265625" customWidth="1"/>
  </cols>
  <sheetData>
    <row r="1" spans="1:14" s="1" customFormat="1" ht="20" x14ac:dyDescent="0.4">
      <c r="A1" s="2" t="s">
        <v>408</v>
      </c>
      <c r="C1" s="3"/>
      <c r="D1" s="5"/>
      <c r="E1" s="6"/>
      <c r="F1" s="6"/>
      <c r="H1" s="6"/>
      <c r="I1" s="6"/>
      <c r="J1" s="6"/>
      <c r="L1" s="2"/>
      <c r="M1" s="3"/>
      <c r="N1" s="4"/>
    </row>
    <row r="2" spans="1:14" s="1" customFormat="1" ht="12.5" x14ac:dyDescent="0.25">
      <c r="A2" s="3"/>
      <c r="C2" s="3"/>
      <c r="D2" s="4"/>
      <c r="E2" s="6"/>
      <c r="F2" s="6"/>
      <c r="H2" s="6"/>
      <c r="I2" s="6"/>
      <c r="J2" s="6"/>
      <c r="L2" s="3"/>
      <c r="M2" s="3"/>
      <c r="N2" s="4"/>
    </row>
    <row r="3" spans="1:14" s="1" customFormat="1" ht="17.5" x14ac:dyDescent="0.25">
      <c r="A3" s="7" t="s">
        <v>409</v>
      </c>
      <c r="D3" s="8"/>
      <c r="E3" s="9"/>
      <c r="F3" s="8"/>
      <c r="G3" s="9"/>
      <c r="H3" s="9"/>
      <c r="I3" s="8"/>
      <c r="J3" s="8"/>
      <c r="L3" s="7"/>
      <c r="N3" s="8"/>
    </row>
    <row r="4" spans="1:14" ht="17.5" x14ac:dyDescent="0.35">
      <c r="A4" s="7" t="s">
        <v>34</v>
      </c>
    </row>
    <row r="6" spans="1:14" ht="29.25" customHeight="1" x14ac:dyDescent="0.35">
      <c r="A6" s="521" t="s">
        <v>410</v>
      </c>
      <c r="B6" s="524" t="s">
        <v>279</v>
      </c>
      <c r="C6" s="525"/>
      <c r="D6" s="525"/>
      <c r="E6" s="526"/>
      <c r="F6" s="527" t="s">
        <v>220</v>
      </c>
      <c r="G6" s="528"/>
      <c r="H6" s="528"/>
      <c r="I6" s="529"/>
      <c r="J6" s="520" t="s">
        <v>71</v>
      </c>
    </row>
    <row r="7" spans="1:14" ht="24.75" customHeight="1" x14ac:dyDescent="0.35">
      <c r="A7" s="522"/>
      <c r="B7" s="524" t="s">
        <v>280</v>
      </c>
      <c r="C7" s="526"/>
      <c r="D7" s="524" t="s">
        <v>281</v>
      </c>
      <c r="E7" s="526"/>
      <c r="F7" s="524" t="s">
        <v>280</v>
      </c>
      <c r="G7" s="526"/>
      <c r="H7" s="524" t="s">
        <v>281</v>
      </c>
      <c r="I7" s="526"/>
      <c r="J7" s="520"/>
    </row>
    <row r="8" spans="1:14" ht="37.5" x14ac:dyDescent="0.35">
      <c r="A8" s="523"/>
      <c r="B8" s="158" t="s">
        <v>282</v>
      </c>
      <c r="C8" s="158" t="s">
        <v>402</v>
      </c>
      <c r="D8" s="158" t="s">
        <v>282</v>
      </c>
      <c r="E8" s="158" t="s">
        <v>283</v>
      </c>
      <c r="F8" s="158" t="s">
        <v>403</v>
      </c>
      <c r="G8" s="158" t="s">
        <v>402</v>
      </c>
      <c r="H8" s="158" t="s">
        <v>284</v>
      </c>
      <c r="I8" s="158" t="s">
        <v>402</v>
      </c>
      <c r="J8" s="520"/>
    </row>
    <row r="9" spans="1:14" x14ac:dyDescent="0.35">
      <c r="A9" s="221" t="s">
        <v>286</v>
      </c>
      <c r="B9" s="369">
        <f>'App_2_Annual Crash Reduction_A'!B9*Value_K</f>
        <v>0</v>
      </c>
      <c r="C9" s="369">
        <f>'App_2_Annual Crash Reduction_A'!C9*Value_K</f>
        <v>0</v>
      </c>
      <c r="D9" s="369">
        <f>'App_2_Annual Crash Reduction_A'!D9*Value_K</f>
        <v>0</v>
      </c>
      <c r="E9" s="369">
        <f>'App_2_Annual Crash Reduction_A'!E9*Value_K</f>
        <v>0</v>
      </c>
      <c r="F9" s="369">
        <f>'App_2_Annual Crash Reduction_A'!F9*Value_K</f>
        <v>0</v>
      </c>
      <c r="G9" s="369">
        <f>'App_2_Annual Crash Reduction_A'!G9*Value_K</f>
        <v>0</v>
      </c>
      <c r="H9" s="369">
        <f>'App_2_Annual Crash Reduction_A'!H9*Value_K</f>
        <v>0</v>
      </c>
      <c r="I9" s="369">
        <f>'App_2_Annual Crash Reduction_A'!I9*Value_K</f>
        <v>0</v>
      </c>
      <c r="J9" s="222">
        <f t="shared" ref="J9:J14" si="0">SUM(B9:I9)</f>
        <v>0</v>
      </c>
    </row>
    <row r="10" spans="1:14" x14ac:dyDescent="0.35">
      <c r="A10" s="159" t="s">
        <v>287</v>
      </c>
      <c r="B10" s="369">
        <f>'App_2_Annual Crash Reduction_A'!B10*Value_A</f>
        <v>0</v>
      </c>
      <c r="C10" s="369">
        <f>'App_2_Annual Crash Reduction_A'!C10*Value_A</f>
        <v>0</v>
      </c>
      <c r="D10" s="369">
        <f>'App_2_Annual Crash Reduction_A'!D10*Value_A</f>
        <v>5941.0000000000009</v>
      </c>
      <c r="E10" s="369">
        <f>'App_2_Annual Crash Reduction_A'!E10*Value_A</f>
        <v>0</v>
      </c>
      <c r="F10" s="369">
        <f>'App_2_Annual Crash Reduction_A'!F10*Value_A</f>
        <v>0</v>
      </c>
      <c r="G10" s="369">
        <f>'App_2_Annual Crash Reduction_A'!G10*Value_A</f>
        <v>0</v>
      </c>
      <c r="H10" s="369">
        <f>'App_2_Annual Crash Reduction_A'!H10*Value_A</f>
        <v>0</v>
      </c>
      <c r="I10" s="369">
        <f>'App_2_Annual Crash Reduction_A'!I10*Value_A</f>
        <v>0</v>
      </c>
      <c r="J10" s="222">
        <f t="shared" si="0"/>
        <v>5941.0000000000009</v>
      </c>
    </row>
    <row r="11" spans="1:14" x14ac:dyDescent="0.35">
      <c r="A11" s="221" t="s">
        <v>288</v>
      </c>
      <c r="B11" s="369">
        <f>'App_2_Annual Crash Reduction_A'!B11*Value_B</f>
        <v>0</v>
      </c>
      <c r="C11" s="369">
        <f>'App_2_Annual Crash Reduction_A'!C11*Value_B</f>
        <v>0</v>
      </c>
      <c r="D11" s="369">
        <f>'App_2_Annual Crash Reduction_A'!D11*Value_B</f>
        <v>1169.0000000000002</v>
      </c>
      <c r="E11" s="369">
        <f>'App_2_Annual Crash Reduction_A'!E11*Value_B</f>
        <v>0</v>
      </c>
      <c r="F11" s="369">
        <f>'App_2_Annual Crash Reduction_A'!F11*Value_B</f>
        <v>0</v>
      </c>
      <c r="G11" s="369">
        <f>'App_2_Annual Crash Reduction_A'!G11*Value_B</f>
        <v>0</v>
      </c>
      <c r="H11" s="369">
        <f>'App_2_Annual Crash Reduction_A'!H11*Value_B</f>
        <v>0</v>
      </c>
      <c r="I11" s="369">
        <f>'App_2_Annual Crash Reduction_A'!I11*Value_B</f>
        <v>0</v>
      </c>
      <c r="J11" s="222">
        <f t="shared" si="0"/>
        <v>1169.0000000000002</v>
      </c>
    </row>
    <row r="12" spans="1:14" x14ac:dyDescent="0.35">
      <c r="A12" s="159" t="s">
        <v>234</v>
      </c>
      <c r="B12" s="369">
        <f>'App_2_Annual Crash Reduction_A'!B12*Value_C</f>
        <v>0</v>
      </c>
      <c r="C12" s="369">
        <f>'App_2_Annual Crash Reduction_A'!C12*Value_C</f>
        <v>0</v>
      </c>
      <c r="D12" s="369">
        <f>'App_2_Annual Crash Reduction_A'!D12*Value_C</f>
        <v>0</v>
      </c>
      <c r="E12" s="369">
        <f>'App_2_Annual Crash Reduction_A'!E12*Value_C</f>
        <v>0</v>
      </c>
      <c r="F12" s="369">
        <f>'App_2_Annual Crash Reduction_A'!F12*Value_C</f>
        <v>0</v>
      </c>
      <c r="G12" s="369">
        <f>'App_2_Annual Crash Reduction_A'!G12*Value_C</f>
        <v>0</v>
      </c>
      <c r="H12" s="369">
        <f>'App_2_Annual Crash Reduction_A'!H12*Value_C</f>
        <v>0</v>
      </c>
      <c r="I12" s="369">
        <f>'App_2_Annual Crash Reduction_A'!I12*Value_C</f>
        <v>0</v>
      </c>
      <c r="J12" s="222">
        <f t="shared" si="0"/>
        <v>0</v>
      </c>
    </row>
    <row r="13" spans="1:14" x14ac:dyDescent="0.35">
      <c r="A13" s="221" t="s">
        <v>289</v>
      </c>
      <c r="B13" s="369">
        <f>'App_2_Annual Crash Reduction_A'!B13*Value_O</f>
        <v>0</v>
      </c>
      <c r="C13" s="369">
        <f>'App_2_Annual Crash Reduction_A'!C13*Value_O</f>
        <v>0</v>
      </c>
      <c r="D13" s="369">
        <f>'App_2_Annual Crash Reduction_A'!D13*Value_O</f>
        <v>100.00000000000001</v>
      </c>
      <c r="E13" s="369">
        <f>'App_2_Annual Crash Reduction_A'!E13*Value_O</f>
        <v>25.000000000000004</v>
      </c>
      <c r="F13" s="369">
        <f>'App_2_Annual Crash Reduction_A'!F13*Value_O</f>
        <v>0</v>
      </c>
      <c r="G13" s="369">
        <f>'App_2_Annual Crash Reduction_A'!G13*Value_O</f>
        <v>0</v>
      </c>
      <c r="H13" s="369">
        <f>'App_2_Annual Crash Reduction_A'!H13*Value_O</f>
        <v>100</v>
      </c>
      <c r="I13" s="369">
        <f>'App_2_Annual Crash Reduction_A'!I13*Value_O</f>
        <v>0</v>
      </c>
      <c r="J13" s="222">
        <f t="shared" si="0"/>
        <v>225</v>
      </c>
    </row>
    <row r="14" spans="1:14" x14ac:dyDescent="0.35">
      <c r="A14" s="159" t="s">
        <v>236</v>
      </c>
      <c r="B14" s="369">
        <f>'App_2_Annual Crash Reduction_A'!B14*Value_U</f>
        <v>0</v>
      </c>
      <c r="C14" s="369">
        <f>'App_2_Annual Crash Reduction_A'!C14*Value_U</f>
        <v>0</v>
      </c>
      <c r="D14" s="369">
        <f>'App_2_Annual Crash Reduction_A'!D14*Value_U</f>
        <v>0</v>
      </c>
      <c r="E14" s="369">
        <f>'App_2_Annual Crash Reduction_A'!E14*Value_U</f>
        <v>0</v>
      </c>
      <c r="F14" s="369">
        <f>'App_2_Annual Crash Reduction_A'!F14*Value_U</f>
        <v>0</v>
      </c>
      <c r="G14" s="369">
        <f>'App_2_Annual Crash Reduction_A'!G14*Value_U</f>
        <v>0</v>
      </c>
      <c r="H14" s="369">
        <f>'App_2_Annual Crash Reduction_A'!H14*Value_U</f>
        <v>0</v>
      </c>
      <c r="I14" s="369">
        <f>'App_2_Annual Crash Reduction_A'!I14*Value_U</f>
        <v>0</v>
      </c>
      <c r="J14" s="222">
        <f t="shared" si="0"/>
        <v>0</v>
      </c>
    </row>
    <row r="15" spans="1:14" x14ac:dyDescent="0.35">
      <c r="A15" s="160" t="s">
        <v>71</v>
      </c>
      <c r="B15" s="370">
        <f t="shared" ref="B15:J15" si="1">SUM(B9:B14)</f>
        <v>0</v>
      </c>
      <c r="C15" s="370">
        <f t="shared" si="1"/>
        <v>0</v>
      </c>
      <c r="D15" s="370">
        <f t="shared" si="1"/>
        <v>7210.0000000000009</v>
      </c>
      <c r="E15" s="370">
        <f t="shared" si="1"/>
        <v>25.000000000000004</v>
      </c>
      <c r="F15" s="370">
        <f t="shared" si="1"/>
        <v>0</v>
      </c>
      <c r="G15" s="370">
        <f t="shared" si="1"/>
        <v>0</v>
      </c>
      <c r="H15" s="370">
        <f t="shared" si="1"/>
        <v>100</v>
      </c>
      <c r="I15" s="370">
        <f t="shared" si="1"/>
        <v>0</v>
      </c>
      <c r="J15" s="222">
        <f t="shared" si="1"/>
        <v>7335.0000000000009</v>
      </c>
    </row>
    <row r="20" spans="1:10" x14ac:dyDescent="0.35">
      <c r="A20" s="223"/>
      <c r="B20" s="223"/>
      <c r="C20" s="223"/>
      <c r="D20" s="223"/>
      <c r="E20" s="223"/>
      <c r="F20" s="223"/>
      <c r="G20" s="223"/>
      <c r="H20" s="223"/>
      <c r="I20" s="223"/>
    </row>
    <row r="22" spans="1:10" x14ac:dyDescent="0.35">
      <c r="J22" s="222"/>
    </row>
  </sheetData>
  <mergeCells count="8">
    <mergeCell ref="J6:J8"/>
    <mergeCell ref="A6:A8"/>
    <mergeCell ref="B6:E6"/>
    <mergeCell ref="F6:I6"/>
    <mergeCell ref="B7:C7"/>
    <mergeCell ref="D7:E7"/>
    <mergeCell ref="F7:G7"/>
    <mergeCell ref="H7:I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D72F5-796A-46D9-BC66-C542873F0A93}">
  <sheetPr>
    <tabColor rgb="FF0070C0"/>
  </sheetPr>
  <dimension ref="A1:T30"/>
  <sheetViews>
    <sheetView workbookViewId="0">
      <selection activeCell="Q31" sqref="Q31"/>
    </sheetView>
  </sheetViews>
  <sheetFormatPr defaultRowHeight="14.5" x14ac:dyDescent="0.35"/>
  <cols>
    <col min="4" max="4" width="11.81640625" bestFit="1" customWidth="1"/>
  </cols>
  <sheetData>
    <row r="1" spans="1:20" s="1" customFormat="1" ht="20" x14ac:dyDescent="0.4">
      <c r="A1" s="2" t="s">
        <v>411</v>
      </c>
      <c r="C1" s="3"/>
      <c r="D1" s="5"/>
      <c r="E1" s="6"/>
      <c r="F1" s="6"/>
      <c r="H1" s="6"/>
      <c r="I1" s="6"/>
      <c r="J1" s="6"/>
      <c r="L1" s="2"/>
      <c r="M1" s="3"/>
      <c r="N1" s="4"/>
    </row>
    <row r="2" spans="1:20" s="1" customFormat="1" ht="12.5" x14ac:dyDescent="0.25">
      <c r="A2" s="3"/>
      <c r="C2" s="3"/>
      <c r="D2" s="4"/>
      <c r="E2" s="6"/>
      <c r="F2" s="6"/>
      <c r="H2" s="6"/>
      <c r="I2" s="6"/>
      <c r="J2" s="6"/>
      <c r="L2" s="3"/>
      <c r="M2" s="3"/>
      <c r="N2" s="4"/>
    </row>
    <row r="3" spans="1:20" s="1" customFormat="1" ht="17.5" x14ac:dyDescent="0.25">
      <c r="A3" s="7" t="s">
        <v>412</v>
      </c>
      <c r="D3" s="8"/>
      <c r="E3" s="9"/>
      <c r="F3" s="8"/>
      <c r="G3" s="9"/>
      <c r="H3" s="9"/>
      <c r="I3" s="8"/>
      <c r="J3" s="8"/>
      <c r="L3" s="7"/>
      <c r="N3" s="8"/>
    </row>
    <row r="4" spans="1:20" ht="17.5" x14ac:dyDescent="0.35">
      <c r="A4" s="7" t="s">
        <v>34</v>
      </c>
    </row>
    <row r="6" spans="1:20" x14ac:dyDescent="0.35">
      <c r="A6" s="194"/>
      <c r="B6" s="195" t="s">
        <v>413</v>
      </c>
      <c r="C6" s="196"/>
      <c r="D6" s="196"/>
      <c r="E6" s="196"/>
      <c r="F6" s="196"/>
      <c r="G6" s="196"/>
      <c r="H6" s="196"/>
      <c r="I6" s="196"/>
      <c r="J6" s="196"/>
      <c r="K6" s="196"/>
      <c r="L6" s="195" t="s">
        <v>413</v>
      </c>
      <c r="M6" s="196"/>
      <c r="N6" s="196"/>
      <c r="O6" s="196"/>
      <c r="P6" s="196"/>
      <c r="Q6" s="196"/>
      <c r="R6" s="196"/>
      <c r="S6" s="196"/>
      <c r="T6" s="196"/>
    </row>
    <row r="7" spans="1:20" x14ac:dyDescent="0.35">
      <c r="A7" s="194"/>
      <c r="B7" s="197" t="s">
        <v>414</v>
      </c>
      <c r="C7" s="196"/>
      <c r="D7" s="196"/>
      <c r="E7" s="196"/>
      <c r="F7" s="196"/>
      <c r="G7" s="196"/>
      <c r="H7" s="196"/>
      <c r="I7" s="196"/>
      <c r="J7" s="196"/>
      <c r="L7" s="197" t="s">
        <v>415</v>
      </c>
      <c r="M7" s="196"/>
      <c r="N7" s="196"/>
      <c r="O7" s="196"/>
      <c r="P7" s="196"/>
      <c r="Q7" s="196"/>
      <c r="R7" s="196"/>
      <c r="S7" s="196"/>
      <c r="T7" s="196"/>
    </row>
    <row r="8" spans="1:20" x14ac:dyDescent="0.35">
      <c r="A8" s="194"/>
      <c r="B8" s="198"/>
      <c r="L8" s="198"/>
    </row>
    <row r="9" spans="1:20" x14ac:dyDescent="0.35">
      <c r="A9" s="194"/>
      <c r="B9" s="199" t="s">
        <v>56</v>
      </c>
      <c r="C9" s="199" t="s">
        <v>416</v>
      </c>
      <c r="D9" s="200" t="s">
        <v>417</v>
      </c>
      <c r="E9" s="201" t="s">
        <v>245</v>
      </c>
      <c r="F9" s="202" t="s">
        <v>418</v>
      </c>
      <c r="G9" s="202" t="s">
        <v>419</v>
      </c>
      <c r="H9" s="202" t="s">
        <v>420</v>
      </c>
      <c r="I9" s="203" t="s">
        <v>421</v>
      </c>
      <c r="J9" s="204" t="s">
        <v>244</v>
      </c>
      <c r="L9" s="199" t="s">
        <v>422</v>
      </c>
      <c r="M9" s="199" t="s">
        <v>416</v>
      </c>
      <c r="N9" s="200" t="s">
        <v>417</v>
      </c>
      <c r="O9" s="201" t="s">
        <v>245</v>
      </c>
      <c r="P9" s="202" t="s">
        <v>418</v>
      </c>
      <c r="Q9" s="202" t="s">
        <v>419</v>
      </c>
      <c r="R9" s="202" t="s">
        <v>420</v>
      </c>
      <c r="S9" s="203" t="s">
        <v>421</v>
      </c>
      <c r="T9" s="204" t="s">
        <v>244</v>
      </c>
    </row>
    <row r="10" spans="1:20" x14ac:dyDescent="0.35">
      <c r="B10" s="193">
        <v>2024</v>
      </c>
      <c r="C10" s="193">
        <v>40</v>
      </c>
      <c r="D10" s="205">
        <v>0.49059999999999998</v>
      </c>
      <c r="E10" s="205">
        <v>989.05510000000004</v>
      </c>
      <c r="F10" s="205">
        <v>1.1135999999999999</v>
      </c>
      <c r="G10" s="205">
        <v>1.09E-2</v>
      </c>
      <c r="H10" s="205">
        <v>9.1999999999999998E-3</v>
      </c>
      <c r="I10" s="205">
        <v>3.9100000000000003E-2</v>
      </c>
      <c r="J10" s="270">
        <v>1.04E-2</v>
      </c>
      <c r="L10" s="193">
        <v>2024</v>
      </c>
      <c r="M10" s="193">
        <v>40</v>
      </c>
      <c r="N10" s="205">
        <v>0.49059999999999998</v>
      </c>
      <c r="O10" s="206">
        <v>989.05510000000004</v>
      </c>
      <c r="P10" s="207">
        <v>1.1135999999999999</v>
      </c>
      <c r="Q10" s="207">
        <v>1.09E-2</v>
      </c>
      <c r="R10" s="207">
        <v>9.1999999999999998E-3</v>
      </c>
      <c r="S10" s="208">
        <v>3.9100000000000003E-2</v>
      </c>
      <c r="T10" s="209">
        <v>1.04E-2</v>
      </c>
    </row>
    <row r="11" spans="1:20" x14ac:dyDescent="0.35">
      <c r="B11" s="193">
        <v>2025</v>
      </c>
      <c r="C11" s="193">
        <v>40</v>
      </c>
      <c r="D11" s="205">
        <f>FORECAST(B11,$N$10:$N$11,$L$10:$L$11)</f>
        <v>0.47367500000000007</v>
      </c>
      <c r="E11" s="205">
        <f>FORECAST(B11,$O$10:$O$11,$L$10:$L$11)</f>
        <v>969.93273999999656</v>
      </c>
      <c r="F11" s="205">
        <f>FORECAST(B11,$P$10:$P$11,$L$10:$L$11)</f>
        <v>1.0758500000000026</v>
      </c>
      <c r="G11" s="205">
        <f>FORECAST(B11,$Q$10:$Q$11,$L$10:$L$11)</f>
        <v>1.0560000000000014E-2</v>
      </c>
      <c r="H11" s="205">
        <f>FORECAST(B11,$R$10:$R$11,$L$10:$L$11)</f>
        <v>9.0199999999999725E-3</v>
      </c>
      <c r="I11" s="205">
        <f>FORECAST(B11,$S$10:$S$11,$L$10:$L$11)</f>
        <v>3.7644999999999929E-2</v>
      </c>
      <c r="J11" s="270">
        <f>FORECAST(B11,$T$10:$T$11,$L$10:$L$11)</f>
        <v>1.0074999999999945E-2</v>
      </c>
      <c r="L11" s="271">
        <v>2044</v>
      </c>
      <c r="M11" s="271">
        <v>40</v>
      </c>
      <c r="N11" s="272">
        <v>0.15210000000000001</v>
      </c>
      <c r="O11" s="274">
        <v>606.60789999999997</v>
      </c>
      <c r="P11" s="275">
        <v>0.35859999999999997</v>
      </c>
      <c r="Q11" s="275">
        <v>4.1000000000000003E-3</v>
      </c>
      <c r="R11" s="275">
        <v>5.5999999999999999E-3</v>
      </c>
      <c r="S11" s="276">
        <v>0.01</v>
      </c>
      <c r="T11" s="277">
        <v>3.8999999999999998E-3</v>
      </c>
    </row>
    <row r="12" spans="1:20" x14ac:dyDescent="0.35">
      <c r="B12" s="193">
        <v>2026</v>
      </c>
      <c r="C12" s="193">
        <v>40</v>
      </c>
      <c r="D12" s="205">
        <f t="shared" ref="D12:D29" si="0">FORECAST(B12,$N$10:$N$11,$L$10:$L$11)</f>
        <v>0.45674999999999955</v>
      </c>
      <c r="E12" s="205">
        <f t="shared" ref="E12:E29" si="1">FORECAST(B12,$O$10:$O$11,$L$10:$L$11)</f>
        <v>950.81037999999535</v>
      </c>
      <c r="F12" s="205">
        <f t="shared" ref="F12:F29" si="2">FORECAST(B12,$P$10:$P$11,$L$10:$L$11)</f>
        <v>1.0381</v>
      </c>
      <c r="G12" s="205">
        <f t="shared" ref="G12:G29" si="3">FORECAST(B12,$Q$10:$Q$11,$L$10:$L$11)</f>
        <v>1.0220000000000007E-2</v>
      </c>
      <c r="H12" s="205">
        <f t="shared" ref="H12:H29" si="4">FORECAST(B12,$R$10:$R$11,$L$10:$L$11)</f>
        <v>8.8400000000000145E-3</v>
      </c>
      <c r="I12" s="205">
        <f t="shared" ref="I12:I29" si="5">FORECAST(B12,$S$10:$S$11,$L$10:$L$11)</f>
        <v>3.6189999999999944E-2</v>
      </c>
      <c r="J12" s="270">
        <f t="shared" ref="J12:J29" si="6">FORECAST(B12,$T$10:$T$11,$L$10:$L$11)</f>
        <v>9.7499999999999254E-3</v>
      </c>
    </row>
    <row r="13" spans="1:20" x14ac:dyDescent="0.35">
      <c r="B13" s="193">
        <v>2027</v>
      </c>
      <c r="C13" s="193">
        <v>40</v>
      </c>
      <c r="D13" s="205">
        <f t="shared" si="0"/>
        <v>0.43982499999999902</v>
      </c>
      <c r="E13" s="205">
        <f t="shared" si="1"/>
        <v>931.68802000000142</v>
      </c>
      <c r="F13" s="205">
        <f t="shared" si="2"/>
        <v>1.0003499999999974</v>
      </c>
      <c r="G13" s="205">
        <f t="shared" si="3"/>
        <v>9.8799999999999999E-3</v>
      </c>
      <c r="H13" s="205">
        <f t="shared" si="4"/>
        <v>8.660000000000001E-3</v>
      </c>
      <c r="I13" s="205">
        <f t="shared" si="5"/>
        <v>3.473499999999996E-2</v>
      </c>
      <c r="J13" s="270">
        <f t="shared" si="6"/>
        <v>9.4249999999999057E-3</v>
      </c>
      <c r="L13" t="s">
        <v>423</v>
      </c>
    </row>
    <row r="14" spans="1:20" x14ac:dyDescent="0.35">
      <c r="B14" s="193">
        <v>2028</v>
      </c>
      <c r="C14" s="193">
        <v>40</v>
      </c>
      <c r="D14" s="205">
        <f t="shared" si="0"/>
        <v>0.4229000000000056</v>
      </c>
      <c r="E14" s="205">
        <f t="shared" si="1"/>
        <v>912.56566000000021</v>
      </c>
      <c r="F14" s="205">
        <f t="shared" si="2"/>
        <v>0.96259999999999479</v>
      </c>
      <c r="G14" s="205">
        <f t="shared" si="3"/>
        <v>9.5399999999999929E-3</v>
      </c>
      <c r="H14" s="205">
        <f t="shared" si="4"/>
        <v>8.4799999999999875E-3</v>
      </c>
      <c r="I14" s="205">
        <f t="shared" si="5"/>
        <v>3.3279999999999976E-2</v>
      </c>
      <c r="J14" s="270">
        <f t="shared" si="6"/>
        <v>9.099999999999886E-3</v>
      </c>
      <c r="L14" s="280" t="s">
        <v>424</v>
      </c>
    </row>
    <row r="15" spans="1:20" x14ac:dyDescent="0.35">
      <c r="B15" s="193">
        <v>2029</v>
      </c>
      <c r="C15" s="193">
        <v>40</v>
      </c>
      <c r="D15" s="205">
        <f t="shared" si="0"/>
        <v>0.40597500000000508</v>
      </c>
      <c r="E15" s="205">
        <f t="shared" si="1"/>
        <v>893.443299999999</v>
      </c>
      <c r="F15" s="205">
        <f t="shared" si="2"/>
        <v>0.92484999999999218</v>
      </c>
      <c r="G15" s="205">
        <f t="shared" si="3"/>
        <v>9.199999999999986E-3</v>
      </c>
      <c r="H15" s="205">
        <f t="shared" si="4"/>
        <v>8.2999999999999741E-3</v>
      </c>
      <c r="I15" s="205">
        <f t="shared" si="5"/>
        <v>3.1824999999999992E-2</v>
      </c>
      <c r="J15" s="270">
        <f t="shared" si="6"/>
        <v>8.7749999999999773E-3</v>
      </c>
      <c r="L15" s="280" t="s">
        <v>425</v>
      </c>
    </row>
    <row r="16" spans="1:20" x14ac:dyDescent="0.35">
      <c r="B16" s="193">
        <v>2030</v>
      </c>
      <c r="C16" s="193">
        <v>40</v>
      </c>
      <c r="D16" s="205">
        <f t="shared" si="0"/>
        <v>0.38905000000000456</v>
      </c>
      <c r="E16" s="205">
        <f t="shared" si="1"/>
        <v>874.32093999999779</v>
      </c>
      <c r="F16" s="205">
        <f t="shared" si="2"/>
        <v>0.88710000000000377</v>
      </c>
      <c r="G16" s="205">
        <f t="shared" si="3"/>
        <v>8.859999999999979E-3</v>
      </c>
      <c r="H16" s="205">
        <f t="shared" si="4"/>
        <v>8.1200000000000161E-3</v>
      </c>
      <c r="I16" s="205">
        <f t="shared" si="5"/>
        <v>3.0370000000000008E-2</v>
      </c>
      <c r="J16" s="270">
        <f t="shared" si="6"/>
        <v>8.4499999999999575E-3</v>
      </c>
      <c r="K16" s="269"/>
      <c r="L16" t="s">
        <v>426</v>
      </c>
    </row>
    <row r="17" spans="2:11" x14ac:dyDescent="0.35">
      <c r="B17" s="193">
        <v>2031</v>
      </c>
      <c r="C17" s="193">
        <v>40</v>
      </c>
      <c r="D17" s="205">
        <f t="shared" si="0"/>
        <v>0.37212500000000404</v>
      </c>
      <c r="E17" s="205">
        <f t="shared" si="1"/>
        <v>855.19857999999658</v>
      </c>
      <c r="F17" s="205">
        <f t="shared" si="2"/>
        <v>0.84935000000000116</v>
      </c>
      <c r="G17" s="205">
        <f t="shared" si="3"/>
        <v>8.519999999999972E-3</v>
      </c>
      <c r="H17" s="205">
        <f t="shared" si="4"/>
        <v>7.9400000000000026E-3</v>
      </c>
      <c r="I17" s="205">
        <f t="shared" si="5"/>
        <v>2.8915000000000024E-2</v>
      </c>
      <c r="J17" s="270">
        <f t="shared" si="6"/>
        <v>8.1249999999999378E-3</v>
      </c>
      <c r="K17" s="269"/>
    </row>
    <row r="18" spans="2:11" x14ac:dyDescent="0.35">
      <c r="B18" s="193">
        <v>2032</v>
      </c>
      <c r="C18" s="193">
        <v>40</v>
      </c>
      <c r="D18" s="205">
        <f t="shared" si="0"/>
        <v>0.35520000000000351</v>
      </c>
      <c r="E18" s="205">
        <f t="shared" si="1"/>
        <v>836.07621999999537</v>
      </c>
      <c r="F18" s="205">
        <f t="shared" si="2"/>
        <v>0.81159999999999854</v>
      </c>
      <c r="G18" s="205">
        <f t="shared" si="3"/>
        <v>8.1799999999999651E-3</v>
      </c>
      <c r="H18" s="205">
        <f t="shared" si="4"/>
        <v>7.7599999999999891E-3</v>
      </c>
      <c r="I18" s="205">
        <f t="shared" si="5"/>
        <v>2.746000000000004E-2</v>
      </c>
      <c r="J18" s="270">
        <f t="shared" si="6"/>
        <v>7.7999999999999181E-3</v>
      </c>
      <c r="K18" s="269"/>
    </row>
    <row r="19" spans="2:11" x14ac:dyDescent="0.35">
      <c r="B19" s="193">
        <v>2033</v>
      </c>
      <c r="C19" s="193">
        <v>40</v>
      </c>
      <c r="D19" s="205">
        <f t="shared" si="0"/>
        <v>0.33827500000000299</v>
      </c>
      <c r="E19" s="205">
        <f t="shared" si="1"/>
        <v>816.95386000000144</v>
      </c>
      <c r="F19" s="205">
        <f t="shared" si="2"/>
        <v>0.77384999999999593</v>
      </c>
      <c r="G19" s="205">
        <f t="shared" si="3"/>
        <v>7.8399999999999581E-3</v>
      </c>
      <c r="H19" s="205">
        <f t="shared" si="4"/>
        <v>7.5799999999999756E-3</v>
      </c>
      <c r="I19" s="205">
        <f t="shared" si="5"/>
        <v>2.6005000000000056E-2</v>
      </c>
      <c r="J19" s="270">
        <f t="shared" si="6"/>
        <v>7.4749999999998984E-3</v>
      </c>
      <c r="K19" s="269"/>
    </row>
    <row r="20" spans="2:11" x14ac:dyDescent="0.35">
      <c r="B20" s="193">
        <v>2034</v>
      </c>
      <c r="C20" s="193">
        <v>40</v>
      </c>
      <c r="D20" s="205">
        <f t="shared" si="0"/>
        <v>0.32135000000000247</v>
      </c>
      <c r="E20" s="205">
        <f t="shared" si="1"/>
        <v>797.83150000000023</v>
      </c>
      <c r="F20" s="205">
        <f t="shared" si="2"/>
        <v>0.73609999999999332</v>
      </c>
      <c r="G20" s="205">
        <f t="shared" si="3"/>
        <v>7.4999999999999512E-3</v>
      </c>
      <c r="H20" s="205">
        <f t="shared" si="4"/>
        <v>7.4000000000000177E-3</v>
      </c>
      <c r="I20" s="205">
        <f t="shared" si="5"/>
        <v>2.4550000000000072E-2</v>
      </c>
      <c r="J20" s="270">
        <f t="shared" si="6"/>
        <v>7.1499999999999897E-3</v>
      </c>
      <c r="K20" s="269"/>
    </row>
    <row r="21" spans="2:11" x14ac:dyDescent="0.35">
      <c r="B21" s="193">
        <v>2035</v>
      </c>
      <c r="C21" s="193">
        <v>40</v>
      </c>
      <c r="D21" s="205">
        <f t="shared" si="0"/>
        <v>0.30442500000000194</v>
      </c>
      <c r="E21" s="205">
        <f t="shared" si="1"/>
        <v>778.70913999999902</v>
      </c>
      <c r="F21" s="205">
        <f t="shared" si="2"/>
        <v>0.69835000000000491</v>
      </c>
      <c r="G21" s="205">
        <f t="shared" si="3"/>
        <v>7.1599999999999442E-3</v>
      </c>
      <c r="H21" s="205">
        <f t="shared" si="4"/>
        <v>7.2200000000000042E-3</v>
      </c>
      <c r="I21" s="205">
        <f t="shared" si="5"/>
        <v>2.3094999999999644E-2</v>
      </c>
      <c r="J21" s="270">
        <f t="shared" si="6"/>
        <v>6.82499999999997E-3</v>
      </c>
      <c r="K21" s="269"/>
    </row>
    <row r="22" spans="2:11" x14ac:dyDescent="0.35">
      <c r="B22" s="193">
        <v>2036</v>
      </c>
      <c r="C22" s="193">
        <v>40</v>
      </c>
      <c r="D22" s="205">
        <f t="shared" si="0"/>
        <v>0.28750000000000142</v>
      </c>
      <c r="E22" s="205">
        <f t="shared" si="1"/>
        <v>759.58677999999782</v>
      </c>
      <c r="F22" s="205">
        <f t="shared" si="2"/>
        <v>0.6606000000000023</v>
      </c>
      <c r="G22" s="205">
        <f t="shared" si="3"/>
        <v>6.8199999999999372E-3</v>
      </c>
      <c r="H22" s="205">
        <f t="shared" si="4"/>
        <v>7.0399999999999907E-3</v>
      </c>
      <c r="I22" s="205">
        <f t="shared" si="5"/>
        <v>2.163999999999966E-2</v>
      </c>
      <c r="J22" s="270">
        <f t="shared" si="6"/>
        <v>6.4999999999999503E-3</v>
      </c>
      <c r="K22" s="269"/>
    </row>
    <row r="23" spans="2:11" x14ac:dyDescent="0.35">
      <c r="B23" s="193">
        <v>2037</v>
      </c>
      <c r="C23" s="193">
        <v>40</v>
      </c>
      <c r="D23" s="205">
        <f t="shared" si="0"/>
        <v>0.2705750000000009</v>
      </c>
      <c r="E23" s="205">
        <f t="shared" si="1"/>
        <v>740.46441999999661</v>
      </c>
      <c r="F23" s="205">
        <f t="shared" si="2"/>
        <v>0.62284999999999968</v>
      </c>
      <c r="G23" s="205">
        <f t="shared" si="3"/>
        <v>6.4799999999999303E-3</v>
      </c>
      <c r="H23" s="205">
        <f t="shared" si="4"/>
        <v>6.8599999999999772E-3</v>
      </c>
      <c r="I23" s="205">
        <f t="shared" si="5"/>
        <v>2.0184999999999675E-2</v>
      </c>
      <c r="J23" s="270">
        <f t="shared" si="6"/>
        <v>6.1749999999999305E-3</v>
      </c>
      <c r="K23" s="269"/>
    </row>
    <row r="24" spans="2:11" x14ac:dyDescent="0.35">
      <c r="B24" s="193">
        <v>2038</v>
      </c>
      <c r="C24" s="193">
        <v>40</v>
      </c>
      <c r="D24" s="205">
        <f t="shared" si="0"/>
        <v>0.25365000000000038</v>
      </c>
      <c r="E24" s="205">
        <f t="shared" si="1"/>
        <v>721.3420599999954</v>
      </c>
      <c r="F24" s="205">
        <f t="shared" si="2"/>
        <v>0.58509999999999707</v>
      </c>
      <c r="G24" s="205">
        <f t="shared" si="3"/>
        <v>6.1399999999999233E-3</v>
      </c>
      <c r="H24" s="205">
        <f t="shared" si="4"/>
        <v>6.6800000000000193E-3</v>
      </c>
      <c r="I24" s="205">
        <f t="shared" si="5"/>
        <v>1.8729999999999691E-2</v>
      </c>
      <c r="J24" s="270">
        <f t="shared" si="6"/>
        <v>5.8499999999999108E-3</v>
      </c>
      <c r="K24" s="269"/>
    </row>
    <row r="25" spans="2:11" x14ac:dyDescent="0.35">
      <c r="B25" s="193">
        <v>2039</v>
      </c>
      <c r="C25" s="193">
        <v>40</v>
      </c>
      <c r="D25" s="205">
        <f t="shared" si="0"/>
        <v>0.23672499999999985</v>
      </c>
      <c r="E25" s="205">
        <f t="shared" si="1"/>
        <v>702.21970000000147</v>
      </c>
      <c r="F25" s="205">
        <f t="shared" si="2"/>
        <v>0.54734999999999445</v>
      </c>
      <c r="G25" s="205">
        <f t="shared" si="3"/>
        <v>5.7999999999999163E-3</v>
      </c>
      <c r="H25" s="205">
        <f t="shared" si="4"/>
        <v>6.5000000000000058E-3</v>
      </c>
      <c r="I25" s="205">
        <f t="shared" si="5"/>
        <v>1.7274999999999707E-2</v>
      </c>
      <c r="J25" s="270">
        <f t="shared" si="6"/>
        <v>5.5249999999998911E-3</v>
      </c>
      <c r="K25" s="269"/>
    </row>
    <row r="26" spans="2:11" x14ac:dyDescent="0.35">
      <c r="B26" s="193">
        <v>2040</v>
      </c>
      <c r="C26" s="193">
        <v>40</v>
      </c>
      <c r="D26" s="205">
        <f t="shared" si="0"/>
        <v>0.21979999999999933</v>
      </c>
      <c r="E26" s="205">
        <f t="shared" si="1"/>
        <v>683.09734000000026</v>
      </c>
      <c r="F26" s="205">
        <f t="shared" si="2"/>
        <v>0.50960000000000605</v>
      </c>
      <c r="G26" s="205">
        <f t="shared" si="3"/>
        <v>5.4600000000000204E-3</v>
      </c>
      <c r="H26" s="205">
        <f t="shared" si="4"/>
        <v>6.3199999999999923E-3</v>
      </c>
      <c r="I26" s="205">
        <f t="shared" si="5"/>
        <v>1.5819999999999723E-2</v>
      </c>
      <c r="J26" s="270">
        <f t="shared" si="6"/>
        <v>5.1999999999999824E-3</v>
      </c>
      <c r="K26" s="269"/>
    </row>
    <row r="27" spans="2:11" x14ac:dyDescent="0.35">
      <c r="B27" s="193">
        <v>2041</v>
      </c>
      <c r="C27" s="193">
        <v>40</v>
      </c>
      <c r="D27" s="205">
        <f t="shared" si="0"/>
        <v>0.20287499999999881</v>
      </c>
      <c r="E27" s="205">
        <f t="shared" si="1"/>
        <v>663.97497999999905</v>
      </c>
      <c r="F27" s="205">
        <f t="shared" si="2"/>
        <v>0.47185000000000343</v>
      </c>
      <c r="G27" s="205">
        <f t="shared" si="3"/>
        <v>5.1200000000000134E-3</v>
      </c>
      <c r="H27" s="205">
        <f t="shared" si="4"/>
        <v>6.1399999999999788E-3</v>
      </c>
      <c r="I27" s="205">
        <f t="shared" si="5"/>
        <v>1.4364999999999739E-2</v>
      </c>
      <c r="J27" s="270">
        <f t="shared" si="6"/>
        <v>4.8749999999999627E-3</v>
      </c>
      <c r="K27" s="269"/>
    </row>
    <row r="28" spans="2:11" x14ac:dyDescent="0.35">
      <c r="B28" s="193">
        <v>2042</v>
      </c>
      <c r="C28" s="193">
        <v>40</v>
      </c>
      <c r="D28" s="205">
        <f t="shared" si="0"/>
        <v>0.18595000000000539</v>
      </c>
      <c r="E28" s="205">
        <f t="shared" si="1"/>
        <v>644.85261999999784</v>
      </c>
      <c r="F28" s="205">
        <f t="shared" si="2"/>
        <v>0.43410000000000082</v>
      </c>
      <c r="G28" s="205">
        <f t="shared" si="3"/>
        <v>4.7800000000000065E-3</v>
      </c>
      <c r="H28" s="205">
        <f t="shared" si="4"/>
        <v>5.9600000000000208E-3</v>
      </c>
      <c r="I28" s="205">
        <f t="shared" si="5"/>
        <v>1.2909999999999755E-2</v>
      </c>
      <c r="J28" s="270">
        <f t="shared" si="6"/>
        <v>4.549999999999943E-3</v>
      </c>
      <c r="K28" s="269"/>
    </row>
    <row r="29" spans="2:11" x14ac:dyDescent="0.35">
      <c r="B29" s="193">
        <v>2043</v>
      </c>
      <c r="C29" s="193">
        <v>40</v>
      </c>
      <c r="D29" s="205">
        <f t="shared" si="0"/>
        <v>0.16902500000000487</v>
      </c>
      <c r="E29" s="205">
        <f t="shared" si="1"/>
        <v>625.73025999999663</v>
      </c>
      <c r="F29" s="205">
        <f t="shared" si="2"/>
        <v>0.3963499999999982</v>
      </c>
      <c r="G29" s="205">
        <f t="shared" si="3"/>
        <v>4.4399999999999995E-3</v>
      </c>
      <c r="H29" s="205">
        <f t="shared" si="4"/>
        <v>5.7800000000000074E-3</v>
      </c>
      <c r="I29" s="205">
        <f t="shared" si="5"/>
        <v>1.1454999999999771E-2</v>
      </c>
      <c r="J29" s="270">
        <f t="shared" si="6"/>
        <v>4.2249999999999233E-3</v>
      </c>
      <c r="K29" s="269"/>
    </row>
    <row r="30" spans="2:11" x14ac:dyDescent="0.35">
      <c r="B30" s="271">
        <v>2044</v>
      </c>
      <c r="C30" s="271">
        <v>40</v>
      </c>
      <c r="D30" s="272">
        <v>0.15210000000000001</v>
      </c>
      <c r="E30" s="272">
        <v>606.60789999999997</v>
      </c>
      <c r="F30" s="272">
        <v>0.35859999999999997</v>
      </c>
      <c r="G30" s="272">
        <v>4.1000000000000003E-3</v>
      </c>
      <c r="H30" s="272">
        <v>5.5999999999999999E-3</v>
      </c>
      <c r="I30" s="272">
        <v>0.01</v>
      </c>
      <c r="J30" s="273">
        <v>3.8999999999999998E-3</v>
      </c>
      <c r="K30" s="269"/>
    </row>
  </sheetData>
  <hyperlinks>
    <hyperlink ref="L14" r:id="rId1" display="CalTrans SB-1 Emissions Calculator " xr:uid="{5ED92306-E93B-47E6-8920-90AC710C4743}"/>
    <hyperlink ref="L15" r:id="rId2" display="An Analysis of the Operational Costs of Trucking: 2022 Update( average speed: 40.24)" xr:uid="{BE892201-F51C-42C3-A649-2728BA08D93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EBA13-3793-4590-8553-3E46EB5EB98B}">
  <sheetPr>
    <tabColor rgb="FFC00000"/>
  </sheetPr>
  <dimension ref="A1:L18"/>
  <sheetViews>
    <sheetView showGridLines="0" zoomScale="220" zoomScaleNormal="220" workbookViewId="0">
      <selection activeCell="F18" sqref="F18"/>
    </sheetView>
  </sheetViews>
  <sheetFormatPr defaultRowHeight="14.5" x14ac:dyDescent="0.35"/>
  <cols>
    <col min="4" max="4" width="20.81640625" customWidth="1"/>
    <col min="5" max="5" width="14.26953125" customWidth="1"/>
    <col min="6" max="6" width="22.453125" customWidth="1"/>
    <col min="7" max="7" width="18.81640625" bestFit="1" customWidth="1"/>
    <col min="8" max="8" width="13.453125" customWidth="1"/>
    <col min="12" max="12" width="11.1796875" bestFit="1" customWidth="1"/>
  </cols>
  <sheetData>
    <row r="1" spans="1:12" ht="23" x14ac:dyDescent="0.35">
      <c r="B1" s="295" t="s">
        <v>32</v>
      </c>
    </row>
    <row r="2" spans="1:12" ht="17.5" x14ac:dyDescent="0.35">
      <c r="B2" s="7" t="s">
        <v>33</v>
      </c>
    </row>
    <row r="3" spans="1:12" ht="17.5" x14ac:dyDescent="0.35">
      <c r="B3" s="7" t="s">
        <v>34</v>
      </c>
    </row>
    <row r="4" spans="1:12" ht="15" thickBot="1" x14ac:dyDescent="0.4">
      <c r="A4" s="1"/>
      <c r="B4" s="1"/>
      <c r="C4" s="1"/>
      <c r="D4" s="1"/>
      <c r="E4" s="1"/>
      <c r="F4" s="1"/>
      <c r="G4" s="1"/>
      <c r="H4" s="1"/>
      <c r="I4" s="1"/>
      <c r="J4" s="1"/>
      <c r="K4" s="1"/>
      <c r="L4" s="1"/>
    </row>
    <row r="5" spans="1:12" ht="15" thickTop="1" x14ac:dyDescent="0.35">
      <c r="A5" s="1"/>
      <c r="B5" s="63"/>
      <c r="C5" s="64"/>
      <c r="D5" s="64"/>
      <c r="E5" s="64"/>
      <c r="F5" s="64"/>
      <c r="G5" s="65"/>
      <c r="H5" s="65"/>
      <c r="I5" s="66"/>
      <c r="J5" s="68"/>
      <c r="K5" s="1"/>
      <c r="L5" s="1"/>
    </row>
    <row r="6" spans="1:12" ht="23" x14ac:dyDescent="0.35">
      <c r="A6" s="1"/>
      <c r="B6" s="69"/>
      <c r="C6" s="70"/>
      <c r="D6" s="71" t="s">
        <v>35</v>
      </c>
      <c r="E6" s="71"/>
      <c r="F6" s="71"/>
      <c r="G6" s="72"/>
      <c r="H6" s="72"/>
      <c r="I6" s="62"/>
      <c r="J6" s="73"/>
      <c r="K6" s="1"/>
      <c r="L6" s="1"/>
    </row>
    <row r="7" spans="1:12" ht="18" x14ac:dyDescent="0.35">
      <c r="A7" s="1"/>
      <c r="B7" s="74"/>
      <c r="C7" s="75"/>
      <c r="D7" s="76" t="s">
        <v>36</v>
      </c>
      <c r="E7" s="76"/>
      <c r="F7" s="76"/>
      <c r="G7" s="72"/>
      <c r="H7" s="72"/>
      <c r="I7" s="77"/>
      <c r="J7" s="73"/>
      <c r="K7" s="1"/>
      <c r="L7" s="1"/>
    </row>
    <row r="8" spans="1:12" ht="15.5" x14ac:dyDescent="0.35">
      <c r="A8" s="1"/>
      <c r="B8" s="74"/>
      <c r="C8" s="75"/>
      <c r="D8" s="78"/>
      <c r="E8" s="78"/>
      <c r="F8" s="78"/>
      <c r="G8" s="72"/>
      <c r="H8" s="72"/>
      <c r="I8" s="79"/>
      <c r="J8" s="73"/>
      <c r="K8" s="1"/>
      <c r="L8" s="1"/>
    </row>
    <row r="9" spans="1:12" x14ac:dyDescent="0.35">
      <c r="A9" s="1"/>
      <c r="B9" s="80"/>
      <c r="C9" s="378"/>
      <c r="D9" s="379"/>
      <c r="E9" s="379"/>
      <c r="F9" s="379"/>
      <c r="G9" s="380"/>
      <c r="H9" s="381"/>
      <c r="I9" s="81"/>
      <c r="J9" s="73"/>
      <c r="K9" s="1"/>
      <c r="L9" s="1"/>
    </row>
    <row r="10" spans="1:12" ht="18" x14ac:dyDescent="0.35">
      <c r="A10" s="1"/>
      <c r="B10" s="82"/>
      <c r="C10" s="382"/>
      <c r="D10" s="462" t="s">
        <v>37</v>
      </c>
      <c r="E10" s="463"/>
      <c r="F10" s="464"/>
      <c r="G10" s="392">
        <f>'B. Final Calculations'!$L$29</f>
        <v>42127.903255874393</v>
      </c>
      <c r="H10" s="383"/>
      <c r="I10" s="83"/>
      <c r="J10" s="73"/>
      <c r="K10" s="1"/>
      <c r="L10" s="319"/>
    </row>
    <row r="11" spans="1:12" ht="18" x14ac:dyDescent="0.35">
      <c r="A11" s="1"/>
      <c r="B11" s="82"/>
      <c r="C11" s="382"/>
      <c r="D11" s="462" t="s">
        <v>38</v>
      </c>
      <c r="E11" s="463"/>
      <c r="F11" s="464"/>
      <c r="G11" s="393">
        <f>'B. Final Calculations'!$K$29</f>
        <v>126405.23271116924</v>
      </c>
      <c r="H11" s="383"/>
      <c r="I11" s="81"/>
      <c r="J11" s="73"/>
      <c r="K11" s="1"/>
      <c r="L11" s="319"/>
    </row>
    <row r="12" spans="1:12" ht="18" x14ac:dyDescent="0.35">
      <c r="A12" s="1"/>
      <c r="B12" s="82"/>
      <c r="C12" s="382"/>
      <c r="D12" s="462" t="s">
        <v>39</v>
      </c>
      <c r="E12" s="463"/>
      <c r="F12" s="464"/>
      <c r="G12" s="393">
        <f>'B. Final Calculations'!$M$29</f>
        <v>84277.329455294865</v>
      </c>
      <c r="H12" s="383"/>
      <c r="I12" s="83"/>
      <c r="J12" s="73"/>
      <c r="K12" s="1"/>
      <c r="L12" s="319"/>
    </row>
    <row r="13" spans="1:12" ht="17.5" x14ac:dyDescent="0.35">
      <c r="A13" s="1"/>
      <c r="B13" s="82"/>
      <c r="C13" s="382"/>
      <c r="D13" s="384"/>
      <c r="E13" s="384"/>
      <c r="F13" s="1"/>
      <c r="G13" s="1"/>
      <c r="H13" s="385"/>
      <c r="I13" s="84"/>
      <c r="J13" s="73"/>
      <c r="K13" s="1"/>
      <c r="L13" s="1"/>
    </row>
    <row r="14" spans="1:12" ht="20.25" customHeight="1" x14ac:dyDescent="0.35">
      <c r="A14" s="1"/>
      <c r="B14" s="82"/>
      <c r="C14" s="382"/>
      <c r="D14" s="462" t="s">
        <v>40</v>
      </c>
      <c r="E14" s="463"/>
      <c r="F14" s="464"/>
      <c r="G14" s="386">
        <f>G11/G10</f>
        <v>3.0005108951996813</v>
      </c>
      <c r="H14" s="387"/>
      <c r="I14" s="84"/>
      <c r="J14" s="73"/>
      <c r="K14" s="1"/>
      <c r="L14" s="1"/>
    </row>
    <row r="15" spans="1:12" ht="17.5" x14ac:dyDescent="0.35">
      <c r="A15" s="1"/>
      <c r="B15" s="82"/>
      <c r="C15" s="388"/>
      <c r="D15" s="389"/>
      <c r="E15" s="389"/>
      <c r="F15" s="389"/>
      <c r="G15" s="390"/>
      <c r="H15" s="391"/>
      <c r="I15" s="84"/>
      <c r="J15" s="73"/>
      <c r="K15" s="1"/>
      <c r="L15" s="1"/>
    </row>
    <row r="16" spans="1:12" ht="17.5" x14ac:dyDescent="0.35">
      <c r="A16" s="1"/>
      <c r="B16" s="82"/>
      <c r="C16" s="8"/>
      <c r="D16" s="86"/>
      <c r="E16" s="86"/>
      <c r="F16" s="86"/>
      <c r="G16" s="87"/>
      <c r="H16" s="87"/>
      <c r="I16" s="84"/>
      <c r="J16" s="73"/>
      <c r="K16" s="1"/>
      <c r="L16" s="1"/>
    </row>
    <row r="17" spans="1:12" ht="18" thickBot="1" x14ac:dyDescent="0.4">
      <c r="A17" s="1"/>
      <c r="B17" s="88"/>
      <c r="C17" s="89"/>
      <c r="D17" s="90"/>
      <c r="E17" s="90"/>
      <c r="F17" s="90"/>
      <c r="G17" s="91"/>
      <c r="H17" s="91"/>
      <c r="I17" s="92"/>
      <c r="J17" s="93"/>
      <c r="K17" s="1"/>
      <c r="L17" s="1"/>
    </row>
    <row r="18" spans="1:12" ht="15" thickTop="1" x14ac:dyDescent="0.35">
      <c r="A18" s="1"/>
      <c r="B18" s="66"/>
      <c r="C18" s="67"/>
      <c r="D18" s="67"/>
      <c r="E18" s="67"/>
      <c r="F18" s="67"/>
      <c r="G18" s="67"/>
      <c r="H18" s="67"/>
      <c r="I18" s="65"/>
      <c r="J18" s="67"/>
      <c r="K18" s="1"/>
      <c r="L18" s="1"/>
    </row>
  </sheetData>
  <mergeCells count="4">
    <mergeCell ref="D14:F14"/>
    <mergeCell ref="D10:F10"/>
    <mergeCell ref="D11:F11"/>
    <mergeCell ref="D12:F12"/>
  </mergeCells>
  <pageMargins left="0.7" right="0.7" top="0.75" bottom="0.75" header="0.3" footer="0.3"/>
  <pageSetup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046D-7165-4026-99DE-9728C0E389EB}">
  <sheetPr>
    <tabColor rgb="FF0070C0"/>
  </sheetPr>
  <dimension ref="A1:B61"/>
  <sheetViews>
    <sheetView topLeftCell="A34" workbookViewId="0">
      <selection activeCell="B52" sqref="B52"/>
    </sheetView>
  </sheetViews>
  <sheetFormatPr defaultRowHeight="14.5" x14ac:dyDescent="0.35"/>
  <cols>
    <col min="1" max="1" width="34.26953125" customWidth="1"/>
    <col min="2" max="2" width="47" customWidth="1"/>
    <col min="5" max="5" width="19.26953125" customWidth="1"/>
  </cols>
  <sheetData>
    <row r="1" spans="1:2" x14ac:dyDescent="0.35">
      <c r="A1" s="312" t="s">
        <v>427</v>
      </c>
      <c r="B1" s="312" t="s">
        <v>428</v>
      </c>
    </row>
    <row r="2" spans="1:2" x14ac:dyDescent="0.35">
      <c r="A2" s="311" t="s">
        <v>429</v>
      </c>
      <c r="B2" s="311" t="s">
        <v>430</v>
      </c>
    </row>
    <row r="3" spans="1:2" x14ac:dyDescent="0.35">
      <c r="A3" s="311" t="s">
        <v>431</v>
      </c>
      <c r="B3" s="311" t="s">
        <v>432</v>
      </c>
    </row>
    <row r="4" spans="1:2" x14ac:dyDescent="0.35">
      <c r="A4" s="311" t="s">
        <v>433</v>
      </c>
      <c r="B4" s="311" t="s">
        <v>434</v>
      </c>
    </row>
    <row r="5" spans="1:2" x14ac:dyDescent="0.35">
      <c r="A5" s="311" t="s">
        <v>435</v>
      </c>
      <c r="B5" s="311" t="s">
        <v>436</v>
      </c>
    </row>
    <row r="6" spans="1:2" x14ac:dyDescent="0.35">
      <c r="A6" s="311" t="s">
        <v>437</v>
      </c>
      <c r="B6" s="311" t="s">
        <v>438</v>
      </c>
    </row>
    <row r="7" spans="1:2" x14ac:dyDescent="0.35">
      <c r="A7" s="311" t="s">
        <v>439</v>
      </c>
      <c r="B7" s="311" t="s">
        <v>440</v>
      </c>
    </row>
    <row r="8" spans="1:2" x14ac:dyDescent="0.35">
      <c r="A8" s="311" t="s">
        <v>441</v>
      </c>
      <c r="B8" s="311" t="s">
        <v>442</v>
      </c>
    </row>
    <row r="9" spans="1:2" x14ac:dyDescent="0.35">
      <c r="A9" s="311" t="s">
        <v>443</v>
      </c>
      <c r="B9" s="311" t="s">
        <v>444</v>
      </c>
    </row>
    <row r="10" spans="1:2" x14ac:dyDescent="0.35">
      <c r="A10" s="311" t="s">
        <v>445</v>
      </c>
      <c r="B10" s="311" t="s">
        <v>446</v>
      </c>
    </row>
    <row r="11" spans="1:2" x14ac:dyDescent="0.35">
      <c r="A11" s="311" t="s">
        <v>447</v>
      </c>
      <c r="B11" s="311" t="s">
        <v>448</v>
      </c>
    </row>
    <row r="12" spans="1:2" x14ac:dyDescent="0.35">
      <c r="A12" s="311" t="s">
        <v>449</v>
      </c>
      <c r="B12" s="311" t="s">
        <v>450</v>
      </c>
    </row>
    <row r="13" spans="1:2" x14ac:dyDescent="0.35">
      <c r="A13" s="311" t="s">
        <v>451</v>
      </c>
      <c r="B13" s="311" t="s">
        <v>452</v>
      </c>
    </row>
    <row r="14" spans="1:2" x14ac:dyDescent="0.35">
      <c r="A14" s="311" t="s">
        <v>453</v>
      </c>
      <c r="B14" s="311" t="s">
        <v>454</v>
      </c>
    </row>
    <row r="15" spans="1:2" x14ac:dyDescent="0.35">
      <c r="A15" s="311" t="s">
        <v>455</v>
      </c>
      <c r="B15" s="311" t="s">
        <v>456</v>
      </c>
    </row>
    <row r="16" spans="1:2" x14ac:dyDescent="0.35">
      <c r="A16" s="311" t="s">
        <v>457</v>
      </c>
      <c r="B16" s="311" t="s">
        <v>458</v>
      </c>
    </row>
    <row r="17" spans="1:2" x14ac:dyDescent="0.35">
      <c r="A17" s="311" t="s">
        <v>459</v>
      </c>
      <c r="B17" s="311" t="s">
        <v>460</v>
      </c>
    </row>
    <row r="18" spans="1:2" x14ac:dyDescent="0.35">
      <c r="A18" s="311" t="s">
        <v>461</v>
      </c>
      <c r="B18" s="311" t="s">
        <v>462</v>
      </c>
    </row>
    <row r="19" spans="1:2" x14ac:dyDescent="0.35">
      <c r="A19" s="311" t="s">
        <v>463</v>
      </c>
      <c r="B19" s="311" t="s">
        <v>464</v>
      </c>
    </row>
    <row r="20" spans="1:2" x14ac:dyDescent="0.35">
      <c r="A20" s="311" t="s">
        <v>465</v>
      </c>
      <c r="B20" s="311" t="s">
        <v>466</v>
      </c>
    </row>
    <row r="21" spans="1:2" x14ac:dyDescent="0.35">
      <c r="A21" s="311" t="s">
        <v>467</v>
      </c>
      <c r="B21" s="311" t="s">
        <v>468</v>
      </c>
    </row>
    <row r="22" spans="1:2" x14ac:dyDescent="0.35">
      <c r="A22" s="311" t="s">
        <v>469</v>
      </c>
      <c r="B22" s="311" t="s">
        <v>470</v>
      </c>
    </row>
    <row r="23" spans="1:2" x14ac:dyDescent="0.35">
      <c r="A23" s="311" t="s">
        <v>471</v>
      </c>
      <c r="B23" s="311" t="s">
        <v>472</v>
      </c>
    </row>
    <row r="24" spans="1:2" x14ac:dyDescent="0.35">
      <c r="A24" s="311" t="s">
        <v>473</v>
      </c>
      <c r="B24" s="311" t="s">
        <v>474</v>
      </c>
    </row>
    <row r="25" spans="1:2" x14ac:dyDescent="0.35">
      <c r="A25" s="311" t="s">
        <v>475</v>
      </c>
      <c r="B25" s="311" t="s">
        <v>476</v>
      </c>
    </row>
    <row r="26" spans="1:2" x14ac:dyDescent="0.35">
      <c r="A26" s="311" t="s">
        <v>477</v>
      </c>
      <c r="B26" s="311" t="s">
        <v>478</v>
      </c>
    </row>
    <row r="27" spans="1:2" x14ac:dyDescent="0.35">
      <c r="A27" s="311" t="s">
        <v>479</v>
      </c>
      <c r="B27" s="311" t="s">
        <v>478</v>
      </c>
    </row>
    <row r="28" spans="1:2" x14ac:dyDescent="0.35">
      <c r="A28" s="311" t="s">
        <v>480</v>
      </c>
      <c r="B28" s="311" t="s">
        <v>481</v>
      </c>
    </row>
    <row r="29" spans="1:2" x14ac:dyDescent="0.35">
      <c r="A29" s="311" t="s">
        <v>482</v>
      </c>
      <c r="B29" s="311" t="s">
        <v>483</v>
      </c>
    </row>
    <row r="30" spans="1:2" x14ac:dyDescent="0.35">
      <c r="A30" s="311" t="s">
        <v>484</v>
      </c>
      <c r="B30" s="311" t="s">
        <v>485</v>
      </c>
    </row>
    <row r="31" spans="1:2" x14ac:dyDescent="0.35">
      <c r="A31" s="311" t="s">
        <v>486</v>
      </c>
      <c r="B31" s="311" t="s">
        <v>487</v>
      </c>
    </row>
    <row r="32" spans="1:2" x14ac:dyDescent="0.35">
      <c r="A32" s="311" t="s">
        <v>488</v>
      </c>
      <c r="B32" s="311" t="s">
        <v>489</v>
      </c>
    </row>
    <row r="33" spans="1:2" x14ac:dyDescent="0.35">
      <c r="A33" s="311" t="s">
        <v>490</v>
      </c>
      <c r="B33" s="311" t="s">
        <v>491</v>
      </c>
    </row>
    <row r="34" spans="1:2" x14ac:dyDescent="0.35">
      <c r="A34" s="311" t="s">
        <v>492</v>
      </c>
      <c r="B34" s="311" t="s">
        <v>493</v>
      </c>
    </row>
    <row r="35" spans="1:2" x14ac:dyDescent="0.35">
      <c r="A35" s="311" t="s">
        <v>494</v>
      </c>
      <c r="B35" s="311" t="s">
        <v>495</v>
      </c>
    </row>
    <row r="36" spans="1:2" x14ac:dyDescent="0.35">
      <c r="A36" s="311" t="s">
        <v>496</v>
      </c>
      <c r="B36" s="311" t="s">
        <v>497</v>
      </c>
    </row>
    <row r="37" spans="1:2" x14ac:dyDescent="0.35">
      <c r="A37" s="311" t="s">
        <v>498</v>
      </c>
      <c r="B37" s="311" t="s">
        <v>499</v>
      </c>
    </row>
    <row r="38" spans="1:2" x14ac:dyDescent="0.35">
      <c r="A38" s="311" t="s">
        <v>500</v>
      </c>
      <c r="B38" s="311" t="s">
        <v>501</v>
      </c>
    </row>
    <row r="39" spans="1:2" x14ac:dyDescent="0.35">
      <c r="A39" s="311" t="s">
        <v>502</v>
      </c>
      <c r="B39" s="311" t="s">
        <v>503</v>
      </c>
    </row>
    <row r="40" spans="1:2" x14ac:dyDescent="0.35">
      <c r="A40" s="311" t="s">
        <v>504</v>
      </c>
      <c r="B40" s="311" t="s">
        <v>505</v>
      </c>
    </row>
    <row r="41" spans="1:2" x14ac:dyDescent="0.35">
      <c r="A41" s="311" t="s">
        <v>506</v>
      </c>
      <c r="B41" s="311" t="s">
        <v>507</v>
      </c>
    </row>
    <row r="42" spans="1:2" x14ac:dyDescent="0.35">
      <c r="A42" s="311" t="s">
        <v>508</v>
      </c>
      <c r="B42" s="311" t="s">
        <v>509</v>
      </c>
    </row>
    <row r="43" spans="1:2" x14ac:dyDescent="0.35">
      <c r="A43" s="311" t="s">
        <v>510</v>
      </c>
      <c r="B43" s="311" t="s">
        <v>511</v>
      </c>
    </row>
    <row r="44" spans="1:2" x14ac:dyDescent="0.35">
      <c r="A44" s="311" t="s">
        <v>512</v>
      </c>
      <c r="B44" s="311" t="s">
        <v>513</v>
      </c>
    </row>
    <row r="45" spans="1:2" x14ac:dyDescent="0.35">
      <c r="A45" s="311" t="s">
        <v>514</v>
      </c>
      <c r="B45" s="311" t="s">
        <v>515</v>
      </c>
    </row>
    <row r="46" spans="1:2" x14ac:dyDescent="0.35">
      <c r="A46" s="311" t="s">
        <v>516</v>
      </c>
      <c r="B46" s="311" t="s">
        <v>517</v>
      </c>
    </row>
    <row r="47" spans="1:2" x14ac:dyDescent="0.35">
      <c r="A47" s="311" t="s">
        <v>518</v>
      </c>
      <c r="B47" s="311" t="s">
        <v>519</v>
      </c>
    </row>
    <row r="48" spans="1:2" x14ac:dyDescent="0.35">
      <c r="A48" s="311" t="s">
        <v>520</v>
      </c>
      <c r="B48" s="311" t="s">
        <v>521</v>
      </c>
    </row>
    <row r="49" spans="1:2" x14ac:dyDescent="0.35">
      <c r="A49" s="311" t="s">
        <v>522</v>
      </c>
      <c r="B49" s="311" t="s">
        <v>478</v>
      </c>
    </row>
    <row r="50" spans="1:2" x14ac:dyDescent="0.35">
      <c r="A50" s="311" t="s">
        <v>523</v>
      </c>
      <c r="B50" s="311" t="s">
        <v>524</v>
      </c>
    </row>
    <row r="51" spans="1:2" x14ac:dyDescent="0.35">
      <c r="A51" s="311" t="s">
        <v>525</v>
      </c>
      <c r="B51" s="311" t="s">
        <v>526</v>
      </c>
    </row>
    <row r="52" spans="1:2" x14ac:dyDescent="0.35">
      <c r="A52" s="311" t="s">
        <v>527</v>
      </c>
      <c r="B52" s="311" t="s">
        <v>528</v>
      </c>
    </row>
    <row r="53" spans="1:2" x14ac:dyDescent="0.35">
      <c r="A53" s="311" t="s">
        <v>529</v>
      </c>
      <c r="B53" s="311" t="s">
        <v>530</v>
      </c>
    </row>
    <row r="54" spans="1:2" x14ac:dyDescent="0.35">
      <c r="A54" s="311" t="s">
        <v>531</v>
      </c>
      <c r="B54" s="311" t="s">
        <v>532</v>
      </c>
    </row>
    <row r="55" spans="1:2" x14ac:dyDescent="0.35">
      <c r="A55" s="311" t="s">
        <v>533</v>
      </c>
      <c r="B55" s="311" t="s">
        <v>534</v>
      </c>
    </row>
    <row r="56" spans="1:2" x14ac:dyDescent="0.35">
      <c r="A56" s="311" t="s">
        <v>535</v>
      </c>
      <c r="B56" s="311" t="s">
        <v>536</v>
      </c>
    </row>
    <row r="57" spans="1:2" x14ac:dyDescent="0.35">
      <c r="A57" s="311" t="s">
        <v>537</v>
      </c>
      <c r="B57" s="311" t="s">
        <v>538</v>
      </c>
    </row>
    <row r="58" spans="1:2" x14ac:dyDescent="0.35">
      <c r="A58" s="311" t="s">
        <v>539</v>
      </c>
      <c r="B58" s="311" t="s">
        <v>540</v>
      </c>
    </row>
    <row r="59" spans="1:2" x14ac:dyDescent="0.35">
      <c r="A59" s="311" t="s">
        <v>541</v>
      </c>
      <c r="B59" s="311" t="s">
        <v>540</v>
      </c>
    </row>
    <row r="60" spans="1:2" x14ac:dyDescent="0.35">
      <c r="A60" s="311" t="s">
        <v>542</v>
      </c>
      <c r="B60" s="311" t="s">
        <v>543</v>
      </c>
    </row>
    <row r="61" spans="1:2" x14ac:dyDescent="0.35">
      <c r="A61" s="311" t="s">
        <v>544</v>
      </c>
      <c r="B61" s="311" t="s">
        <v>545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410A-7E83-4980-AF35-A1C6E94370B3}">
  <sheetPr>
    <tabColor rgb="FFC00000"/>
  </sheetPr>
  <dimension ref="A1:N31"/>
  <sheetViews>
    <sheetView zoomScale="115" zoomScaleNormal="115" workbookViewId="0">
      <pane xSplit="1" ySplit="12" topLeftCell="B29" activePane="bottomRight" state="frozen"/>
      <selection pane="topRight" activeCell="B1" sqref="B1"/>
      <selection pane="bottomLeft" activeCell="A13" sqref="A13"/>
      <selection pane="bottomRight" activeCell="D1" sqref="D1"/>
    </sheetView>
  </sheetViews>
  <sheetFormatPr defaultRowHeight="14.5" x14ac:dyDescent="0.35"/>
  <cols>
    <col min="1" max="1" width="14.7265625" customWidth="1"/>
    <col min="3" max="3" width="15.81640625" customWidth="1"/>
    <col min="4" max="4" width="20.7265625" customWidth="1"/>
    <col min="5" max="5" width="23.81640625" customWidth="1"/>
    <col min="6" max="6" width="25.1796875" customWidth="1"/>
    <col min="7" max="7" width="22.54296875" customWidth="1"/>
    <col min="8" max="8" width="25.54296875" customWidth="1"/>
    <col min="9" max="10" width="19.26953125" customWidth="1"/>
    <col min="11" max="11" width="18.1796875" customWidth="1"/>
    <col min="12" max="12" width="17.7265625" customWidth="1"/>
    <col min="13" max="13" width="16" customWidth="1"/>
  </cols>
  <sheetData>
    <row r="1" spans="1:14" ht="20" x14ac:dyDescent="0.4">
      <c r="B1" s="2" t="s">
        <v>41</v>
      </c>
    </row>
    <row r="2" spans="1:14" x14ac:dyDescent="0.35">
      <c r="B2" s="3"/>
    </row>
    <row r="3" spans="1:14" ht="17.5" x14ac:dyDescent="0.35">
      <c r="B3" s="7" t="s">
        <v>42</v>
      </c>
    </row>
    <row r="4" spans="1:14" ht="17.5" x14ac:dyDescent="0.35">
      <c r="B4" s="7" t="s">
        <v>43</v>
      </c>
    </row>
    <row r="5" spans="1:14" ht="17.5" x14ac:dyDescent="0.35">
      <c r="B5" s="15" t="s">
        <v>44</v>
      </c>
    </row>
    <row r="6" spans="1:14" ht="17.5" x14ac:dyDescent="0.35">
      <c r="B6" s="7"/>
    </row>
    <row r="7" spans="1:14" ht="20" x14ac:dyDescent="0.4">
      <c r="B7" s="26"/>
      <c r="C7" s="27" t="s">
        <v>45</v>
      </c>
      <c r="D7" s="28"/>
      <c r="E7" s="28"/>
      <c r="F7" s="28"/>
      <c r="G7" s="28"/>
      <c r="H7" s="28"/>
      <c r="I7" s="28"/>
      <c r="J7" s="28"/>
      <c r="K7" s="28"/>
      <c r="L7" s="28"/>
      <c r="M7" s="28"/>
      <c r="N7" s="94"/>
    </row>
    <row r="8" spans="1:14" x14ac:dyDescent="0.35">
      <c r="B8" s="1"/>
      <c r="C8" s="1"/>
      <c r="D8" s="1"/>
      <c r="E8" s="1"/>
      <c r="F8" s="1"/>
      <c r="G8" s="1"/>
      <c r="H8" s="1"/>
      <c r="I8" s="1"/>
      <c r="J8" s="1"/>
      <c r="K8" s="317"/>
      <c r="L8" s="317"/>
      <c r="M8" s="317"/>
      <c r="N8" s="1"/>
    </row>
    <row r="9" spans="1:14" x14ac:dyDescent="0.35">
      <c r="B9" s="36"/>
      <c r="C9" s="344" t="s">
        <v>46</v>
      </c>
      <c r="D9" s="344"/>
      <c r="E9" s="344"/>
      <c r="F9" s="344"/>
      <c r="G9" s="344"/>
      <c r="H9" s="344"/>
      <c r="I9" s="344"/>
      <c r="J9" s="344"/>
      <c r="K9" s="455" t="s">
        <v>47</v>
      </c>
      <c r="L9" s="95" t="s">
        <v>47</v>
      </c>
      <c r="M9" s="451"/>
    </row>
    <row r="10" spans="1:14" x14ac:dyDescent="0.35">
      <c r="B10" s="96"/>
      <c r="C10" s="97"/>
      <c r="D10" s="37"/>
      <c r="E10" s="98"/>
      <c r="F10" s="98"/>
      <c r="G10" s="98"/>
      <c r="H10" s="98"/>
      <c r="I10" s="98"/>
      <c r="J10" s="99"/>
      <c r="K10" s="214" t="s">
        <v>48</v>
      </c>
      <c r="L10" s="99" t="s">
        <v>48</v>
      </c>
      <c r="M10" s="452"/>
    </row>
    <row r="11" spans="1:14" ht="11.5" customHeight="1" x14ac:dyDescent="0.35">
      <c r="B11" s="38"/>
      <c r="C11" s="348" t="s">
        <v>49</v>
      </c>
      <c r="D11" s="43" t="s">
        <v>50</v>
      </c>
      <c r="E11" s="345" t="s">
        <v>50</v>
      </c>
      <c r="F11" s="43" t="s">
        <v>51</v>
      </c>
      <c r="G11" s="43" t="s">
        <v>51</v>
      </c>
      <c r="H11" s="43" t="s">
        <v>52</v>
      </c>
      <c r="I11" s="43" t="s">
        <v>53</v>
      </c>
      <c r="J11" s="99"/>
      <c r="K11" s="214" t="s">
        <v>54</v>
      </c>
      <c r="L11" s="99" t="s">
        <v>54</v>
      </c>
      <c r="M11" s="452" t="s">
        <v>55</v>
      </c>
    </row>
    <row r="12" spans="1:14" ht="60" customHeight="1" x14ac:dyDescent="0.35">
      <c r="B12" s="41" t="s">
        <v>56</v>
      </c>
      <c r="C12" s="39" t="s">
        <v>57</v>
      </c>
      <c r="D12" s="346" t="s">
        <v>58</v>
      </c>
      <c r="E12" s="347" t="s">
        <v>59</v>
      </c>
      <c r="F12" s="214" t="s">
        <v>60</v>
      </c>
      <c r="G12" s="214" t="s">
        <v>61</v>
      </c>
      <c r="H12" s="43" t="s">
        <v>62</v>
      </c>
      <c r="I12" s="43" t="s">
        <v>63</v>
      </c>
      <c r="J12" s="99" t="s">
        <v>64</v>
      </c>
      <c r="K12" s="456" t="s">
        <v>65</v>
      </c>
      <c r="L12" s="342" t="s">
        <v>66</v>
      </c>
      <c r="M12" s="453" t="s">
        <v>67</v>
      </c>
    </row>
    <row r="13" spans="1:14" x14ac:dyDescent="0.35">
      <c r="A13" s="294" t="s">
        <v>68</v>
      </c>
      <c r="B13" s="100" t="s">
        <v>69</v>
      </c>
      <c r="C13" s="101"/>
      <c r="D13" s="102"/>
      <c r="E13" s="102"/>
      <c r="F13" s="102"/>
      <c r="G13" s="102"/>
      <c r="H13" s="102"/>
      <c r="I13" s="102"/>
      <c r="J13" s="102"/>
      <c r="K13" s="102"/>
      <c r="L13" s="102"/>
      <c r="M13" s="102"/>
    </row>
    <row r="14" spans="1:14" x14ac:dyDescent="0.35">
      <c r="A14" s="294">
        <f>'F.Params&amp;Assumptions(UserInput)'!F14</f>
        <v>2025</v>
      </c>
      <c r="B14" s="104">
        <v>1</v>
      </c>
      <c r="C14" s="105"/>
      <c r="D14" s="106"/>
      <c r="E14" s="107"/>
      <c r="F14" s="111"/>
      <c r="G14" s="111"/>
      <c r="H14" s="111"/>
      <c r="I14" s="111"/>
      <c r="J14" s="111"/>
      <c r="K14" s="457">
        <f>SUM(C14:I14)</f>
        <v>0</v>
      </c>
      <c r="L14" s="108">
        <f>'D. Capital Costs (User Input)'!K15</f>
        <v>14755.052950948986</v>
      </c>
      <c r="M14" s="454">
        <f>K14-L14</f>
        <v>-14755.052950948986</v>
      </c>
    </row>
    <row r="15" spans="1:14" x14ac:dyDescent="0.35">
      <c r="A15" s="294">
        <f>A14+1</f>
        <v>2026</v>
      </c>
      <c r="B15" s="109">
        <v>2</v>
      </c>
      <c r="C15" s="110"/>
      <c r="D15" s="3"/>
      <c r="E15" s="111"/>
      <c r="F15" s="111"/>
      <c r="G15" s="111"/>
      <c r="H15" s="111"/>
      <c r="I15" s="111"/>
      <c r="J15" s="111"/>
      <c r="K15" s="457">
        <f>SUM(C15:I15)</f>
        <v>0</v>
      </c>
      <c r="L15" s="108">
        <f>'D. Capital Costs (User Input)'!K16</f>
        <v>14030.78388671667</v>
      </c>
      <c r="M15" s="454">
        <f t="shared" ref="M15:M16" si="0">K15-L15</f>
        <v>-14030.78388671667</v>
      </c>
    </row>
    <row r="16" spans="1:14" x14ac:dyDescent="0.35">
      <c r="A16" s="294">
        <f>A15+1</f>
        <v>2027</v>
      </c>
      <c r="B16" s="109">
        <v>3</v>
      </c>
      <c r="C16" s="110"/>
      <c r="D16" s="3"/>
      <c r="E16" s="111"/>
      <c r="F16" s="111"/>
      <c r="G16" s="111"/>
      <c r="H16" s="111"/>
      <c r="I16" s="111"/>
      <c r="J16" s="111"/>
      <c r="K16" s="457">
        <f>SUM(C16:I16)</f>
        <v>0</v>
      </c>
      <c r="L16" s="108">
        <f>'D. Capital Costs (User Input)'!K17</f>
        <v>13342.066418208735</v>
      </c>
      <c r="M16" s="454">
        <f t="shared" si="0"/>
        <v>-13342.066418208735</v>
      </c>
    </row>
    <row r="17" spans="1:13" x14ac:dyDescent="0.35">
      <c r="A17" s="294"/>
      <c r="B17" s="112" t="s">
        <v>70</v>
      </c>
      <c r="C17" s="101"/>
      <c r="D17" s="102"/>
      <c r="E17" s="102"/>
      <c r="F17" s="102"/>
      <c r="G17" s="102"/>
      <c r="H17" s="102"/>
      <c r="I17" s="102"/>
      <c r="J17" s="102"/>
      <c r="K17" s="102"/>
      <c r="L17" s="102"/>
      <c r="M17" s="102"/>
    </row>
    <row r="18" spans="1:13" x14ac:dyDescent="0.35">
      <c r="A18" s="294">
        <f>'F.Params&amp;Assumptions(UserInput)'!F16</f>
        <v>2028</v>
      </c>
      <c r="B18" s="113">
        <v>1</v>
      </c>
      <c r="C18" s="49">
        <f>'1. Safety Benefits'!J22</f>
        <v>6107.2841478848231</v>
      </c>
      <c r="D18" s="49">
        <f>'2. Travel Time Savings_A'!G56</f>
        <v>134.63175271426263</v>
      </c>
      <c r="E18" s="49">
        <f>'3. Travel Time Savings_B'!E32</f>
        <v>7252.1397311624814</v>
      </c>
      <c r="F18" s="49">
        <f>'4. Environmental Benefits_A'!H28</f>
        <v>130.94572513659645</v>
      </c>
      <c r="G18" s="49">
        <f>'5. Environmental Benefits_B'!H61</f>
        <v>2628.0732231253969</v>
      </c>
      <c r="H18" s="49">
        <f>'6.Vehicle Operating Cost Saving'!E17</f>
        <v>11498.819572304817</v>
      </c>
      <c r="I18" s="49">
        <f>'7. State of Good Repair'!E18</f>
        <v>102.02589002335908</v>
      </c>
      <c r="J18" s="49">
        <f>-'E. O&amp;M Costs (User Input)'!F13</f>
        <v>-15260.466982857888</v>
      </c>
      <c r="K18" s="457">
        <f>SUM(C18:J18)</f>
        <v>12593.453059493851</v>
      </c>
      <c r="L18" s="108"/>
      <c r="M18" s="454">
        <f>K18-L18</f>
        <v>12593.453059493851</v>
      </c>
    </row>
    <row r="19" spans="1:13" x14ac:dyDescent="0.35">
      <c r="A19" s="294">
        <f>A18+1</f>
        <v>2029</v>
      </c>
      <c r="B19" s="114">
        <f>B18+1</f>
        <v>2</v>
      </c>
      <c r="C19" s="49">
        <f>'1. Safety Benefits'!J23</f>
        <v>5923.6509678805278</v>
      </c>
      <c r="D19" s="49">
        <f>'2. Travel Time Savings_A'!G57</f>
        <v>130.58365927668541</v>
      </c>
      <c r="E19" s="49">
        <f>'3. Travel Time Savings_B'!E33</f>
        <v>7169.7002766045543</v>
      </c>
      <c r="F19" s="49">
        <f>'4. Environmental Benefits_A'!H29</f>
        <v>129.68526841314107</v>
      </c>
      <c r="G19" s="49">
        <f>'5. Environmental Benefits_B'!H62</f>
        <v>2595.9063449311766</v>
      </c>
      <c r="H19" s="49">
        <f>'6.Vehicle Operating Cost Saving'!E18</f>
        <v>11368.10554186116</v>
      </c>
      <c r="I19" s="49">
        <f>'7. State of Good Repair'!E19</f>
        <v>100.86610008051353</v>
      </c>
      <c r="J19" s="49">
        <f>-'E. O&amp;M Costs (User Input)'!F14</f>
        <v>-14801.61686019194</v>
      </c>
      <c r="K19" s="457">
        <f t="shared" ref="K19:K27" si="1">SUM(C19:J19)</f>
        <v>12616.881298855822</v>
      </c>
      <c r="L19" s="108"/>
      <c r="M19" s="454">
        <f t="shared" ref="M19:M27" si="2">K19-L19</f>
        <v>12616.881298855822</v>
      </c>
    </row>
    <row r="20" spans="1:13" x14ac:dyDescent="0.35">
      <c r="A20" s="294">
        <f t="shared" ref="A20:A27" si="3">A19+1</f>
        <v>2030</v>
      </c>
      <c r="B20" s="114">
        <f t="shared" ref="B20:B27" si="4">B19+1</f>
        <v>3</v>
      </c>
      <c r="C20" s="49">
        <f>'1. Safety Benefits'!J24</f>
        <v>5745.5392510965348</v>
      </c>
      <c r="D20" s="49">
        <f>'2. Travel Time Savings_A'!G58</f>
        <v>126.65728348854064</v>
      </c>
      <c r="E20" s="49">
        <f>'3. Travel Time Savings_B'!E34</f>
        <v>7088.1979611420848</v>
      </c>
      <c r="F20" s="49">
        <f>'4. Environmental Benefits_A'!H30</f>
        <v>128.66864841327873</v>
      </c>
      <c r="G20" s="49">
        <f>'5. Environmental Benefits_B'!H63</f>
        <v>2570.5013232655156</v>
      </c>
      <c r="H20" s="49">
        <f>'6.Vehicle Operating Cost Saving'!E19</f>
        <v>11238.87741678782</v>
      </c>
      <c r="I20" s="49">
        <f>'7. State of Good Repair'!E20</f>
        <v>99.71949417077191</v>
      </c>
      <c r="J20" s="49">
        <f>-'E. O&amp;M Costs (User Input)'!F15</f>
        <v>-14356.563394948535</v>
      </c>
      <c r="K20" s="457">
        <f t="shared" si="1"/>
        <v>12641.59798341601</v>
      </c>
      <c r="L20" s="108"/>
      <c r="M20" s="454">
        <f t="shared" si="2"/>
        <v>12641.59798341601</v>
      </c>
    </row>
    <row r="21" spans="1:13" x14ac:dyDescent="0.35">
      <c r="A21" s="294">
        <f t="shared" si="3"/>
        <v>2031</v>
      </c>
      <c r="B21" s="114">
        <f t="shared" si="4"/>
        <v>4</v>
      </c>
      <c r="C21" s="49">
        <f>'1. Safety Benefits'!J25</f>
        <v>5572.7829787551273</v>
      </c>
      <c r="D21" s="49">
        <f>'2. Travel Time Savings_A'!G59</f>
        <v>122.8489655562955</v>
      </c>
      <c r="E21" s="49">
        <f>'3. Travel Time Savings_B'!E35</f>
        <v>7007.6221317486961</v>
      </c>
      <c r="F21" s="49">
        <f>'4. Environmental Benefits_A'!H31</f>
        <v>127.0175815778268</v>
      </c>
      <c r="G21" s="49">
        <f>'5. Environmental Benefits_B'!H64</f>
        <v>2548.2233145735645</v>
      </c>
      <c r="H21" s="49">
        <f>'6.Vehicle Operating Cost Saving'!E20</f>
        <v>11111.118305900573</v>
      </c>
      <c r="I21" s="49">
        <f>'7. State of Good Repair'!E21</f>
        <v>98.585922423263256</v>
      </c>
      <c r="J21" s="49">
        <f>-'E. O&amp;M Costs (User Input)'!F16</f>
        <v>-13924.891750677534</v>
      </c>
      <c r="K21" s="457">
        <f t="shared" si="1"/>
        <v>12663.307449857812</v>
      </c>
      <c r="L21" s="108"/>
      <c r="M21" s="454">
        <f t="shared" si="2"/>
        <v>12663.307449857812</v>
      </c>
    </row>
    <row r="22" spans="1:13" x14ac:dyDescent="0.35">
      <c r="A22" s="294">
        <f t="shared" si="3"/>
        <v>2032</v>
      </c>
      <c r="B22" s="114">
        <f t="shared" si="4"/>
        <v>5</v>
      </c>
      <c r="C22" s="49">
        <f>'1. Safety Benefits'!J26</f>
        <v>5405.2211239137996</v>
      </c>
      <c r="D22" s="49">
        <f>'2. Travel Time Savings_A'!G60</f>
        <v>119.15515572870562</v>
      </c>
      <c r="E22" s="49">
        <f>'3. Travel Time Savings_B'!E36</f>
        <v>6927.9622564973915</v>
      </c>
      <c r="F22" s="49">
        <f>'4. Environmental Benefits_A'!H32</f>
        <v>124.82598051584301</v>
      </c>
      <c r="G22" s="49">
        <f>'5. Environmental Benefits_B'!H65</f>
        <v>2507.2130525929724</v>
      </c>
      <c r="H22" s="49">
        <f>'6.Vehicle Operating Cost Saving'!E21</f>
        <v>10984.811510027483</v>
      </c>
      <c r="I22" s="49">
        <f>'7. State of Good Repair'!E22</f>
        <v>97.465236670789281</v>
      </c>
      <c r="J22" s="49">
        <f>-'E. O&amp;M Costs (User Input)'!F17</f>
        <v>-13506.199564187715</v>
      </c>
      <c r="K22" s="457">
        <f t="shared" si="1"/>
        <v>12660.454751759273</v>
      </c>
      <c r="L22" s="108"/>
      <c r="M22" s="454">
        <f t="shared" si="2"/>
        <v>12660.454751759273</v>
      </c>
    </row>
    <row r="23" spans="1:13" x14ac:dyDescent="0.35">
      <c r="A23" s="294">
        <f t="shared" si="3"/>
        <v>2033</v>
      </c>
      <c r="B23" s="114">
        <f t="shared" si="4"/>
        <v>6</v>
      </c>
      <c r="C23" s="49">
        <f>'1. Safety Benefits'!J27</f>
        <v>5242.6975013712899</v>
      </c>
      <c r="D23" s="49">
        <f>'2. Travel Time Savings_A'!G61</f>
        <v>115.5724109880753</v>
      </c>
      <c r="E23" s="49">
        <f>'3. Travel Time Savings_B'!E37</f>
        <v>6849.2079231839589</v>
      </c>
      <c r="F23" s="49">
        <f>'4. Environmental Benefits_A'!H33</f>
        <v>123.2278381143999</v>
      </c>
      <c r="G23" s="49">
        <f>'5. Environmental Benefits_B'!H66</f>
        <v>2482.0241161899849</v>
      </c>
      <c r="H23" s="49">
        <f>'6.Vehicle Operating Cost Saving'!E22</f>
        <v>10859.940519826201</v>
      </c>
      <c r="I23" s="49">
        <f>'7. State of Good Repair'!E23</f>
        <v>96.357290430457937</v>
      </c>
      <c r="J23" s="49">
        <f>-'E. O&amp;M Costs (User Input)'!F18</f>
        <v>-13100.096570502148</v>
      </c>
      <c r="K23" s="457">
        <f t="shared" si="1"/>
        <v>12668.931029602219</v>
      </c>
      <c r="L23" s="108"/>
      <c r="M23" s="454">
        <f t="shared" si="2"/>
        <v>12668.931029602219</v>
      </c>
    </row>
    <row r="24" spans="1:13" x14ac:dyDescent="0.35">
      <c r="A24" s="294">
        <f t="shared" si="3"/>
        <v>2034</v>
      </c>
      <c r="B24" s="114">
        <f t="shared" si="4"/>
        <v>7</v>
      </c>
      <c r="C24" s="49">
        <f>'1. Safety Benefits'!J28</f>
        <v>5085.0606220866048</v>
      </c>
      <c r="D24" s="49">
        <f>'2. Travel Time Savings_A'!G62</f>
        <v>112.09739184100417</v>
      </c>
      <c r="E24" s="49">
        <f>'3. Travel Time Savings_B'!E38</f>
        <v>6771.3488379659993</v>
      </c>
      <c r="F24" s="49">
        <f>'4. Environmental Benefits_A'!H34</f>
        <v>121.37995898911612</v>
      </c>
      <c r="G24" s="49">
        <f>'5. Environmental Benefits_B'!H67</f>
        <v>2447.0413260367786</v>
      </c>
      <c r="H24" s="49">
        <f>'6.Vehicle Operating Cost Saving'!E23</f>
        <v>10736.489013626042</v>
      </c>
      <c r="I24" s="49">
        <f>'7. State of Good Repair'!E24</f>
        <v>95.261938884536505</v>
      </c>
      <c r="J24" s="49">
        <f>-'E. O&amp;M Costs (User Input)'!F19</f>
        <v>-12706.204239090348</v>
      </c>
      <c r="K24" s="457">
        <f t="shared" si="1"/>
        <v>12662.474850339735</v>
      </c>
      <c r="L24" s="108"/>
      <c r="M24" s="454">
        <f t="shared" si="2"/>
        <v>12662.474850339735</v>
      </c>
    </row>
    <row r="25" spans="1:13" x14ac:dyDescent="0.35">
      <c r="A25" s="294">
        <f t="shared" si="3"/>
        <v>2035</v>
      </c>
      <c r="B25" s="114">
        <f t="shared" si="4"/>
        <v>8</v>
      </c>
      <c r="C25" s="49">
        <f>'1. Safety Benefits'!J29</f>
        <v>4932.1635519753681</v>
      </c>
      <c r="D25" s="49">
        <f>'2. Travel Time Savings_A'!G63</f>
        <v>108.72685920562965</v>
      </c>
      <c r="E25" s="49">
        <f>'3. Travel Time Savings_B'!E39</f>
        <v>6694.3748240174427</v>
      </c>
      <c r="F25" s="49">
        <f>'4. Environmental Benefits_A'!H35</f>
        <v>119.56251763246559</v>
      </c>
      <c r="G25" s="49">
        <f>'5. Environmental Benefits_B'!H68</f>
        <v>2410.8013678715574</v>
      </c>
      <c r="H25" s="49">
        <f>'6.Vehicle Operating Cost Saving'!E24</f>
        <v>10614.440855294621</v>
      </c>
      <c r="I25" s="49">
        <f>'7. State of Good Repair'!E25</f>
        <v>94.179038861523168</v>
      </c>
      <c r="J25" s="49">
        <f>-'E. O&amp;M Costs (User Input)'!F20</f>
        <v>-12324.155421038166</v>
      </c>
      <c r="K25" s="457">
        <f t="shared" si="1"/>
        <v>12650.093593820438</v>
      </c>
      <c r="L25" s="108"/>
      <c r="M25" s="454">
        <f t="shared" si="2"/>
        <v>12650.093593820438</v>
      </c>
    </row>
    <row r="26" spans="1:13" x14ac:dyDescent="0.35">
      <c r="A26" s="294">
        <f t="shared" si="3"/>
        <v>2036</v>
      </c>
      <c r="B26" s="114">
        <f t="shared" si="4"/>
        <v>9</v>
      </c>
      <c r="C26" s="49">
        <f>'1. Safety Benefits'!J30</f>
        <v>4783.8637749518612</v>
      </c>
      <c r="D26" s="49">
        <f>'2. Travel Time Savings_A'!G64</f>
        <v>105.45767139246331</v>
      </c>
      <c r="E26" s="49">
        <f>'3. Travel Time Savings_B'!E40</f>
        <v>6618.2758201983515</v>
      </c>
      <c r="F26" s="49">
        <f>'4. Environmental Benefits_A'!H36</f>
        <v>117.77487002215111</v>
      </c>
      <c r="G26" s="49">
        <f>'5. Environmental Benefits_B'!H69</f>
        <v>2373.3030399129138</v>
      </c>
      <c r="H26" s="49">
        <f>'6.Vehicle Operating Cost Saving'!E25</f>
        <v>10493.780092128711</v>
      </c>
      <c r="I26" s="49">
        <f>'7. State of Good Repair'!E26</f>
        <v>93.108448817432915</v>
      </c>
      <c r="J26" s="49">
        <f>-'E. O&amp;M Costs (User Input)'!F21</f>
        <v>-11953.594006826545</v>
      </c>
      <c r="K26" s="457">
        <f t="shared" si="1"/>
        <v>12631.969710597339</v>
      </c>
      <c r="L26" s="108"/>
      <c r="M26" s="454">
        <f t="shared" si="2"/>
        <v>12631.969710597339</v>
      </c>
    </row>
    <row r="27" spans="1:13" x14ac:dyDescent="0.35">
      <c r="A27" s="294">
        <f t="shared" si="3"/>
        <v>2037</v>
      </c>
      <c r="B27" s="114">
        <f t="shared" si="4"/>
        <v>10</v>
      </c>
      <c r="C27" s="49">
        <f>'1. Safety Benefits'!J31</f>
        <v>4640.0230600891</v>
      </c>
      <c r="D27" s="49">
        <f>'2. Travel Time Savings_A'!G65</f>
        <v>102.2867811760071</v>
      </c>
      <c r="E27" s="49">
        <f>'3. Travel Time Savings_B'!E41</f>
        <v>6543.0418797398406</v>
      </c>
      <c r="F27" s="49">
        <f>'4. Environmental Benefits_A'!H37</f>
        <v>116.27075374271502</v>
      </c>
      <c r="G27" s="49">
        <f>'5. Environmental Benefits_B'!H70</f>
        <v>2342.0801214928069</v>
      </c>
      <c r="H27" s="49">
        <f>'6.Vehicle Operating Cost Saving'!E26</f>
        <v>10374.490952769111</v>
      </c>
      <c r="I27" s="49">
        <f>'7. State of Good Repair'!E27</f>
        <v>92.050028817296834</v>
      </c>
      <c r="J27" s="49">
        <f>-'E. O&amp;M Costs (User Input)'!F22</f>
        <v>-11594.17459440014</v>
      </c>
      <c r="K27" s="457">
        <f t="shared" si="1"/>
        <v>12616.068983426734</v>
      </c>
      <c r="L27" s="108"/>
      <c r="M27" s="454">
        <f t="shared" si="2"/>
        <v>12616.068983426734</v>
      </c>
    </row>
    <row r="28" spans="1:13" x14ac:dyDescent="0.35">
      <c r="B28" s="50"/>
      <c r="C28" s="53"/>
      <c r="D28" s="53"/>
      <c r="E28" s="53"/>
      <c r="F28" s="53"/>
      <c r="G28" s="53"/>
      <c r="H28" s="53"/>
      <c r="I28" s="53"/>
      <c r="J28" s="53"/>
      <c r="K28" s="53"/>
      <c r="L28" s="53"/>
      <c r="M28" s="53"/>
    </row>
    <row r="29" spans="1:13" x14ac:dyDescent="0.35">
      <c r="B29" s="56" t="s">
        <v>71</v>
      </c>
      <c r="C29" s="115">
        <f>SUM(C18:C27)</f>
        <v>53438.286980005032</v>
      </c>
      <c r="D29" s="115">
        <f t="shared" ref="D29:I29" si="5">SUM(D18:D27)</f>
        <v>1178.0179313676692</v>
      </c>
      <c r="E29" s="115">
        <f t="shared" si="5"/>
        <v>68921.871642260812</v>
      </c>
      <c r="F29" s="115">
        <f t="shared" si="5"/>
        <v>1239.3591425575339</v>
      </c>
      <c r="G29" s="115">
        <f t="shared" si="5"/>
        <v>24905.167229992665</v>
      </c>
      <c r="H29" s="115">
        <f t="shared" si="5"/>
        <v>109280.87378052653</v>
      </c>
      <c r="I29" s="115">
        <f t="shared" si="5"/>
        <v>969.61938917994439</v>
      </c>
      <c r="J29" s="115">
        <f>SUM(J18:J27)</f>
        <v>-133527.96338472096</v>
      </c>
      <c r="K29" s="323">
        <f>SUM(K14:K27)</f>
        <v>126405.23271116924</v>
      </c>
      <c r="L29" s="323">
        <f>SUM(L14:L27)</f>
        <v>42127.903255874393</v>
      </c>
      <c r="M29" s="323">
        <f>SUM(M14:M27)</f>
        <v>84277.329455294865</v>
      </c>
    </row>
    <row r="31" spans="1:13" x14ac:dyDescent="0.35">
      <c r="B31" t="s">
        <v>72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2F8D-2F0F-4207-875C-8E5E4C6D1D2B}">
  <sheetPr>
    <tabColor rgb="FFC00000"/>
  </sheetPr>
  <dimension ref="A1:X75"/>
  <sheetViews>
    <sheetView zoomScale="115" zoomScaleNormal="115" workbookViewId="0">
      <pane xSplit="4" ySplit="8" topLeftCell="E9" activePane="bottomRight" state="frozen"/>
      <selection pane="topRight" activeCell="E1" sqref="E1"/>
      <selection pane="bottomLeft" activeCell="A8" sqref="A8"/>
      <selection pane="bottomRight" activeCell="F65" sqref="F65"/>
    </sheetView>
  </sheetViews>
  <sheetFormatPr defaultRowHeight="14.5" x14ac:dyDescent="0.35"/>
  <cols>
    <col min="3" max="3" width="9.7265625" customWidth="1"/>
    <col min="4" max="4" width="68.7265625" customWidth="1"/>
    <col min="5" max="5" width="51.7265625" customWidth="1"/>
    <col min="6" max="6" width="35.81640625" customWidth="1"/>
    <col min="7" max="7" width="17" bestFit="1" customWidth="1"/>
    <col min="8" max="8" width="14.26953125" customWidth="1"/>
    <col min="9" max="9" width="22" customWidth="1"/>
    <col min="10" max="10" width="20.81640625" customWidth="1"/>
    <col min="11" max="11" width="20.7265625" customWidth="1"/>
    <col min="12" max="12" width="23.26953125" customWidth="1"/>
    <col min="13" max="13" width="23.81640625" customWidth="1"/>
    <col min="14" max="14" width="25.1796875" customWidth="1"/>
    <col min="15" max="15" width="24.81640625" customWidth="1"/>
    <col min="16" max="16" width="21" customWidth="1"/>
  </cols>
  <sheetData>
    <row r="1" spans="1:24" ht="20" x14ac:dyDescent="0.4">
      <c r="B1" s="2" t="s">
        <v>73</v>
      </c>
    </row>
    <row r="2" spans="1:24" x14ac:dyDescent="0.35">
      <c r="B2" s="3"/>
    </row>
    <row r="3" spans="1:24" ht="17.5" x14ac:dyDescent="0.35">
      <c r="B3" s="7" t="s">
        <v>74</v>
      </c>
    </row>
    <row r="4" spans="1:24" ht="17.5" x14ac:dyDescent="0.35">
      <c r="A4" s="1"/>
      <c r="B4" s="7"/>
      <c r="C4" s="7"/>
      <c r="D4" s="7"/>
      <c r="E4" s="7"/>
      <c r="F4" s="7"/>
      <c r="G4" s="7"/>
      <c r="H4" s="7"/>
      <c r="I4" s="7"/>
      <c r="J4" s="7"/>
      <c r="K4" s="7"/>
      <c r="L4" s="8"/>
      <c r="M4" s="1"/>
      <c r="N4" s="1"/>
      <c r="O4" s="1"/>
      <c r="P4" s="3"/>
      <c r="Q4" s="1"/>
      <c r="R4" s="8"/>
      <c r="S4" s="8"/>
      <c r="T4" s="1"/>
      <c r="U4" s="1"/>
      <c r="V4" s="1"/>
      <c r="W4" s="1"/>
      <c r="X4" s="1"/>
    </row>
    <row r="5" spans="1:24" ht="17.5" x14ac:dyDescent="0.35">
      <c r="A5" s="1"/>
      <c r="B5" s="400" t="s">
        <v>75</v>
      </c>
      <c r="C5" s="400"/>
      <c r="D5" s="400"/>
      <c r="E5" s="400"/>
      <c r="F5" s="400"/>
      <c r="G5" s="400"/>
      <c r="H5" s="400"/>
      <c r="I5" s="400"/>
      <c r="J5" s="400"/>
      <c r="K5" s="400"/>
      <c r="L5" s="8"/>
      <c r="M5" s="1"/>
      <c r="N5" s="1"/>
      <c r="O5" s="1"/>
      <c r="P5" s="3"/>
      <c r="Q5" s="1"/>
      <c r="R5" s="8"/>
      <c r="S5" s="8"/>
      <c r="T5" s="1"/>
      <c r="U5" s="1"/>
      <c r="V5" s="1"/>
      <c r="W5" s="1"/>
      <c r="X5" s="1"/>
    </row>
    <row r="6" spans="1:24" ht="17.5" x14ac:dyDescent="0.35">
      <c r="B6" s="7"/>
    </row>
    <row r="7" spans="1:24" ht="25.5" customHeight="1" x14ac:dyDescent="0.35">
      <c r="A7" s="1"/>
      <c r="B7" s="75"/>
      <c r="C7" s="469" t="s">
        <v>76</v>
      </c>
      <c r="D7" s="470"/>
      <c r="E7" s="467" t="s">
        <v>77</v>
      </c>
      <c r="F7" s="473" t="s">
        <v>78</v>
      </c>
      <c r="G7" s="474"/>
      <c r="H7" s="473" t="s">
        <v>79</v>
      </c>
      <c r="I7" s="474"/>
      <c r="J7" s="473" t="s">
        <v>80</v>
      </c>
      <c r="K7" s="474"/>
      <c r="L7" s="465" t="s">
        <v>81</v>
      </c>
      <c r="M7" s="414" t="s">
        <v>82</v>
      </c>
    </row>
    <row r="8" spans="1:24" ht="18" customHeight="1" x14ac:dyDescent="0.35">
      <c r="A8" s="1"/>
      <c r="B8" s="75"/>
      <c r="C8" s="471"/>
      <c r="D8" s="472"/>
      <c r="E8" s="468"/>
      <c r="F8" s="431" t="s">
        <v>83</v>
      </c>
      <c r="G8" s="425" t="s">
        <v>84</v>
      </c>
      <c r="H8" s="431" t="s">
        <v>83</v>
      </c>
      <c r="I8" s="425" t="s">
        <v>84</v>
      </c>
      <c r="J8" s="431" t="s">
        <v>83</v>
      </c>
      <c r="K8" s="425" t="s">
        <v>84</v>
      </c>
      <c r="L8" s="466"/>
      <c r="M8" s="425" t="s">
        <v>84</v>
      </c>
    </row>
    <row r="9" spans="1:24" x14ac:dyDescent="0.35">
      <c r="A9" s="1"/>
      <c r="B9" s="282"/>
      <c r="C9" s="415"/>
      <c r="D9" s="283"/>
      <c r="E9" s="426"/>
      <c r="F9" s="432"/>
      <c r="G9" s="416"/>
      <c r="H9" s="432"/>
      <c r="I9" s="416"/>
      <c r="J9" s="432"/>
      <c r="K9" s="416"/>
      <c r="L9" s="426"/>
      <c r="M9" s="416"/>
    </row>
    <row r="10" spans="1:24" ht="18" x14ac:dyDescent="0.35">
      <c r="A10" s="1"/>
      <c r="B10" s="8"/>
      <c r="C10" s="417"/>
      <c r="D10" s="286" t="s">
        <v>37</v>
      </c>
      <c r="E10" s="427">
        <f>'A. Summary'!G10</f>
        <v>42127.903255874393</v>
      </c>
      <c r="F10" s="433">
        <v>42441.753609799925</v>
      </c>
      <c r="G10" s="418">
        <v>42441.753609799925</v>
      </c>
      <c r="H10" s="433">
        <v>42441.753609799925</v>
      </c>
      <c r="I10" s="418">
        <v>42441.753609799925</v>
      </c>
      <c r="J10" s="433">
        <v>42441.753609799925</v>
      </c>
      <c r="K10" s="418">
        <v>42441.753609799925</v>
      </c>
      <c r="L10" s="442">
        <v>42441.753609799925</v>
      </c>
      <c r="M10" s="439">
        <v>59862.140507091593</v>
      </c>
    </row>
    <row r="11" spans="1:24" ht="18" x14ac:dyDescent="0.35">
      <c r="A11" s="1"/>
      <c r="B11" s="8"/>
      <c r="C11" s="417"/>
      <c r="D11" s="286" t="s">
        <v>38</v>
      </c>
      <c r="E11" s="427">
        <f>'A. Summary'!G11</f>
        <v>126405.23271116924</v>
      </c>
      <c r="F11" s="434">
        <v>75385.849700679231</v>
      </c>
      <c r="G11" s="419">
        <v>177424.61572165921</v>
      </c>
      <c r="H11" s="434">
        <v>92616.317611244434</v>
      </c>
      <c r="I11" s="419">
        <v>160194.14781109404</v>
      </c>
      <c r="J11" s="434">
        <v>112441.31669768668</v>
      </c>
      <c r="K11" s="419">
        <v>140369.14872465178</v>
      </c>
      <c r="L11" s="443">
        <v>125676.69437470021</v>
      </c>
      <c r="M11" s="440">
        <v>126405.23271116924</v>
      </c>
    </row>
    <row r="12" spans="1:24" ht="18" x14ac:dyDescent="0.35">
      <c r="A12" s="1"/>
      <c r="B12" s="8"/>
      <c r="C12" s="417"/>
      <c r="D12" s="286" t="s">
        <v>39</v>
      </c>
      <c r="E12" s="427">
        <f>'A. Summary'!G12</f>
        <v>84277.329455294865</v>
      </c>
      <c r="F12" s="434">
        <v>32944.096090879306</v>
      </c>
      <c r="G12" s="419">
        <v>134982.86211185929</v>
      </c>
      <c r="H12" s="434">
        <v>50174.564001444509</v>
      </c>
      <c r="I12" s="419">
        <v>117752.39420129411</v>
      </c>
      <c r="J12" s="434">
        <v>69999.563087886752</v>
      </c>
      <c r="K12" s="419">
        <v>97927.395114851854</v>
      </c>
      <c r="L12" s="443">
        <v>83234.940764900282</v>
      </c>
      <c r="M12" s="440">
        <v>66543.092204077635</v>
      </c>
    </row>
    <row r="13" spans="1:24" x14ac:dyDescent="0.35">
      <c r="A13" s="1"/>
      <c r="B13" s="8"/>
      <c r="C13" s="417"/>
      <c r="D13" s="142"/>
      <c r="E13" s="428"/>
      <c r="F13" s="435"/>
      <c r="G13" s="420"/>
      <c r="H13" s="435"/>
      <c r="I13" s="420"/>
      <c r="J13" s="435"/>
      <c r="K13" s="420"/>
      <c r="L13" s="428"/>
      <c r="M13" s="420"/>
    </row>
    <row r="14" spans="1:24" ht="18" x14ac:dyDescent="0.35">
      <c r="A14" s="1"/>
      <c r="B14" s="8"/>
      <c r="C14" s="417"/>
      <c r="D14" s="286" t="s">
        <v>40</v>
      </c>
      <c r="E14" s="429">
        <f>'A. Summary'!G14</f>
        <v>3.0005108951996813</v>
      </c>
      <c r="F14" s="436">
        <v>1.7762190128560666</v>
      </c>
      <c r="G14" s="421">
        <v>4.1804261283089712</v>
      </c>
      <c r="H14" s="436">
        <v>2.1821981830142629</v>
      </c>
      <c r="I14" s="421">
        <v>3.7744469581507758</v>
      </c>
      <c r="J14" s="436">
        <v>2.6493089265690388</v>
      </c>
      <c r="K14" s="421">
        <v>3.3073362145959995</v>
      </c>
      <c r="L14" s="444">
        <v>2.9611569665604272</v>
      </c>
      <c r="M14" s="441">
        <v>2.1116056265344305</v>
      </c>
    </row>
    <row r="15" spans="1:24" ht="17.5" x14ac:dyDescent="0.35">
      <c r="A15" s="1"/>
      <c r="B15" s="8"/>
      <c r="C15" s="422"/>
      <c r="D15" s="423"/>
      <c r="E15" s="430"/>
      <c r="F15" s="437"/>
      <c r="G15" s="438"/>
      <c r="H15" s="437"/>
      <c r="I15" s="438"/>
      <c r="J15" s="437"/>
      <c r="K15" s="438"/>
      <c r="L15" s="445"/>
      <c r="M15" s="424"/>
      <c r="N15" s="332"/>
    </row>
    <row r="16" spans="1:24" ht="17.5" x14ac:dyDescent="0.35">
      <c r="A16" s="1"/>
      <c r="B16" s="8"/>
      <c r="C16" s="8"/>
      <c r="D16" s="86"/>
      <c r="E16" s="289" t="s">
        <v>85</v>
      </c>
      <c r="F16" s="340">
        <f>MAX(F14:M14)</f>
        <v>4.1804261283089712</v>
      </c>
      <c r="I16" s="332"/>
      <c r="J16" s="1"/>
      <c r="K16" s="1"/>
      <c r="L16" s="1"/>
    </row>
    <row r="17" spans="1:16" ht="18" hidden="1" x14ac:dyDescent="0.35">
      <c r="A17" s="1"/>
      <c r="B17" s="8"/>
      <c r="C17" s="296" t="s">
        <v>86</v>
      </c>
      <c r="D17" s="86"/>
      <c r="E17" s="289"/>
      <c r="F17" s="337"/>
      <c r="J17" s="1"/>
      <c r="K17" s="1"/>
      <c r="L17" s="1"/>
    </row>
    <row r="18" spans="1:16" hidden="1" x14ac:dyDescent="0.35">
      <c r="A18" s="1"/>
      <c r="B18" s="8"/>
      <c r="C18" s="283"/>
      <c r="D18" s="283"/>
      <c r="E18" s="289"/>
      <c r="F18" s="338"/>
      <c r="J18" s="284"/>
      <c r="K18" s="284"/>
      <c r="L18" s="284"/>
      <c r="M18" s="284"/>
      <c r="N18" s="284"/>
      <c r="O18" s="284"/>
      <c r="P18" s="284"/>
    </row>
    <row r="19" spans="1:16" ht="18" hidden="1" x14ac:dyDescent="0.35">
      <c r="A19" s="1"/>
      <c r="B19" s="8"/>
      <c r="C19" s="285"/>
      <c r="D19" s="286" t="s">
        <v>87</v>
      </c>
      <c r="E19" s="289"/>
      <c r="F19" s="339"/>
      <c r="J19" s="292"/>
      <c r="K19" s="292"/>
      <c r="L19" s="292"/>
      <c r="M19" s="292"/>
      <c r="N19" s="292"/>
      <c r="O19" s="292"/>
      <c r="P19" s="292"/>
    </row>
    <row r="20" spans="1:16" ht="18" hidden="1" x14ac:dyDescent="0.35">
      <c r="A20" s="1"/>
      <c r="B20" s="8"/>
      <c r="C20" s="285"/>
      <c r="D20" s="286" t="s">
        <v>88</v>
      </c>
      <c r="E20" s="289"/>
      <c r="F20" s="339"/>
      <c r="J20" s="293"/>
      <c r="K20" s="293"/>
      <c r="L20" s="293"/>
      <c r="M20" s="293"/>
      <c r="N20" s="293"/>
      <c r="O20" s="293"/>
      <c r="P20" s="293"/>
    </row>
    <row r="21" spans="1:16" ht="18" hidden="1" x14ac:dyDescent="0.35">
      <c r="A21" s="1"/>
      <c r="B21" s="8"/>
      <c r="C21" s="285"/>
      <c r="D21" s="286" t="s">
        <v>39</v>
      </c>
      <c r="E21" s="289"/>
      <c r="F21" s="339"/>
      <c r="J21" s="293"/>
      <c r="K21" s="293"/>
      <c r="L21" s="293"/>
      <c r="M21" s="293"/>
      <c r="N21" s="293"/>
      <c r="O21" s="293"/>
      <c r="P21" s="293"/>
    </row>
    <row r="22" spans="1:16" ht="17.5" hidden="1" x14ac:dyDescent="0.35">
      <c r="A22" s="1"/>
      <c r="B22" s="8"/>
      <c r="C22" s="285"/>
      <c r="D22" s="142"/>
      <c r="E22" s="289"/>
      <c r="F22" s="339"/>
      <c r="J22" s="140"/>
      <c r="K22" s="140"/>
      <c r="L22" s="140"/>
      <c r="M22" s="140"/>
      <c r="N22" s="140"/>
      <c r="O22" s="140"/>
      <c r="P22" s="140"/>
    </row>
    <row r="23" spans="1:16" ht="18" hidden="1" x14ac:dyDescent="0.35">
      <c r="A23" s="1"/>
      <c r="B23" s="8"/>
      <c r="C23" s="285"/>
      <c r="D23" s="286" t="s">
        <v>40</v>
      </c>
      <c r="E23" s="289"/>
      <c r="F23" s="339"/>
      <c r="J23" s="141"/>
      <c r="K23" s="141"/>
      <c r="L23" s="141"/>
      <c r="M23" s="141"/>
      <c r="N23" s="141"/>
      <c r="O23" s="141"/>
      <c r="P23" s="141"/>
    </row>
    <row r="24" spans="1:16" ht="17.5" hidden="1" x14ac:dyDescent="0.35">
      <c r="A24" s="1"/>
      <c r="B24" s="8"/>
      <c r="C24" s="285"/>
      <c r="D24" s="288"/>
      <c r="E24" s="289"/>
      <c r="F24" s="339"/>
      <c r="J24" s="287"/>
      <c r="K24" s="287"/>
      <c r="L24" s="287"/>
      <c r="M24" s="287"/>
      <c r="N24" s="290"/>
      <c r="O24" s="290"/>
      <c r="P24" s="290"/>
    </row>
    <row r="25" spans="1:16" ht="17.5" hidden="1" x14ac:dyDescent="0.35">
      <c r="A25" s="1"/>
      <c r="B25" s="8"/>
      <c r="C25" s="8"/>
      <c r="D25" s="86"/>
      <c r="E25" s="289"/>
      <c r="F25" s="337"/>
      <c r="J25" s="1"/>
      <c r="K25" s="1"/>
      <c r="L25" s="1"/>
    </row>
    <row r="26" spans="1:16" ht="18" hidden="1" x14ac:dyDescent="0.35">
      <c r="A26" s="1"/>
      <c r="B26" s="8"/>
      <c r="C26" s="296" t="s">
        <v>89</v>
      </c>
      <c r="D26" s="86"/>
      <c r="E26" s="289"/>
      <c r="F26" s="337"/>
      <c r="J26" s="1"/>
      <c r="K26" s="1"/>
      <c r="L26" s="1"/>
    </row>
    <row r="27" spans="1:16" hidden="1" x14ac:dyDescent="0.35">
      <c r="A27" s="1"/>
      <c r="B27" s="8"/>
      <c r="C27" s="283"/>
      <c r="D27" s="283"/>
      <c r="E27" s="289"/>
      <c r="F27" s="338"/>
      <c r="J27" s="284"/>
      <c r="K27" s="284"/>
      <c r="L27" s="284"/>
      <c r="M27" s="284"/>
      <c r="N27" s="284"/>
      <c r="O27" s="284"/>
      <c r="P27" s="284"/>
    </row>
    <row r="28" spans="1:16" ht="18" hidden="1" x14ac:dyDescent="0.35">
      <c r="A28" s="1"/>
      <c r="B28" s="8"/>
      <c r="C28" s="285"/>
      <c r="D28" s="286" t="s">
        <v>87</v>
      </c>
      <c r="E28" s="289"/>
      <c r="F28" s="339"/>
      <c r="J28" s="292"/>
      <c r="K28" s="292"/>
      <c r="L28" s="292"/>
      <c r="M28" s="292"/>
      <c r="N28" s="292"/>
      <c r="O28" s="292"/>
      <c r="P28" s="292"/>
    </row>
    <row r="29" spans="1:16" ht="18" hidden="1" x14ac:dyDescent="0.35">
      <c r="A29" s="1"/>
      <c r="B29" s="8"/>
      <c r="C29" s="285"/>
      <c r="D29" s="286" t="s">
        <v>88</v>
      </c>
      <c r="E29" s="289"/>
      <c r="F29" s="339"/>
      <c r="J29" s="293"/>
      <c r="K29" s="293"/>
      <c r="L29" s="293"/>
      <c r="M29" s="293"/>
      <c r="N29" s="293"/>
      <c r="O29" s="293"/>
      <c r="P29" s="293"/>
    </row>
    <row r="30" spans="1:16" ht="18" hidden="1" x14ac:dyDescent="0.35">
      <c r="A30" s="1"/>
      <c r="B30" s="8"/>
      <c r="C30" s="285"/>
      <c r="D30" s="286" t="s">
        <v>39</v>
      </c>
      <c r="E30" s="289"/>
      <c r="F30" s="339"/>
      <c r="J30" s="293"/>
      <c r="K30" s="293"/>
      <c r="L30" s="293"/>
      <c r="M30" s="293"/>
      <c r="N30" s="293"/>
      <c r="O30" s="293"/>
      <c r="P30" s="293"/>
    </row>
    <row r="31" spans="1:16" ht="17.5" hidden="1" x14ac:dyDescent="0.35">
      <c r="A31" s="1"/>
      <c r="B31" s="8"/>
      <c r="C31" s="285"/>
      <c r="D31" s="142"/>
      <c r="E31" s="289"/>
      <c r="F31" s="339"/>
      <c r="J31" s="140"/>
      <c r="K31" s="140"/>
      <c r="L31" s="140"/>
      <c r="M31" s="140"/>
      <c r="N31" s="140"/>
      <c r="O31" s="140"/>
      <c r="P31" s="140"/>
    </row>
    <row r="32" spans="1:16" ht="18" hidden="1" x14ac:dyDescent="0.35">
      <c r="A32" s="1"/>
      <c r="B32" s="8"/>
      <c r="C32" s="285"/>
      <c r="D32" s="286" t="s">
        <v>40</v>
      </c>
      <c r="E32" s="289"/>
      <c r="F32" s="339"/>
      <c r="J32" s="141"/>
      <c r="K32" s="141"/>
      <c r="L32" s="141"/>
      <c r="M32" s="141"/>
      <c r="N32" s="141"/>
      <c r="O32" s="141"/>
      <c r="P32" s="141"/>
    </row>
    <row r="33" spans="1:16" ht="17.5" hidden="1" x14ac:dyDescent="0.35">
      <c r="A33" s="1"/>
      <c r="B33" s="8"/>
      <c r="C33" s="285"/>
      <c r="D33" s="288"/>
      <c r="E33" s="289"/>
      <c r="F33" s="339"/>
      <c r="J33" s="287"/>
      <c r="K33" s="287"/>
      <c r="L33" s="287"/>
      <c r="M33" s="287"/>
      <c r="N33" s="290"/>
      <c r="O33" s="290"/>
      <c r="P33" s="290"/>
    </row>
    <row r="34" spans="1:16" ht="17.5" hidden="1" x14ac:dyDescent="0.35">
      <c r="A34" s="1"/>
      <c r="B34" s="8"/>
      <c r="C34" s="8"/>
      <c r="D34" s="86"/>
      <c r="E34" s="289"/>
      <c r="F34" s="337"/>
      <c r="J34" s="1"/>
      <c r="K34" s="1"/>
      <c r="L34" s="1"/>
    </row>
    <row r="35" spans="1:16" ht="18" hidden="1" x14ac:dyDescent="0.35">
      <c r="A35" s="1"/>
      <c r="B35" s="8"/>
      <c r="C35" s="296" t="s">
        <v>90</v>
      </c>
      <c r="D35" s="86"/>
      <c r="E35" s="289"/>
      <c r="F35" s="337"/>
      <c r="J35" s="1"/>
      <c r="K35" s="1"/>
      <c r="L35" s="1"/>
    </row>
    <row r="36" spans="1:16" hidden="1" x14ac:dyDescent="0.35">
      <c r="A36" s="1"/>
      <c r="B36" s="8"/>
      <c r="C36" s="283"/>
      <c r="D36" s="283"/>
      <c r="E36" s="289"/>
      <c r="F36" s="338"/>
      <c r="J36" s="284"/>
      <c r="K36" s="284"/>
      <c r="L36" s="284"/>
      <c r="M36" s="284"/>
      <c r="N36" s="284"/>
      <c r="O36" s="284"/>
      <c r="P36" s="284"/>
    </row>
    <row r="37" spans="1:16" ht="18" hidden="1" x14ac:dyDescent="0.35">
      <c r="A37" s="1"/>
      <c r="B37" s="8"/>
      <c r="C37" s="285"/>
      <c r="D37" s="286" t="s">
        <v>87</v>
      </c>
      <c r="E37" s="289"/>
      <c r="F37" s="339"/>
      <c r="J37" s="292"/>
      <c r="K37" s="292"/>
      <c r="L37" s="292"/>
      <c r="M37" s="292"/>
      <c r="N37" s="292"/>
      <c r="O37" s="292"/>
      <c r="P37" s="292"/>
    </row>
    <row r="38" spans="1:16" ht="18" hidden="1" x14ac:dyDescent="0.35">
      <c r="A38" s="1"/>
      <c r="B38" s="8"/>
      <c r="C38" s="285"/>
      <c r="D38" s="286" t="s">
        <v>88</v>
      </c>
      <c r="E38" s="289"/>
      <c r="F38" s="339"/>
      <c r="J38" s="293"/>
      <c r="K38" s="293"/>
      <c r="L38" s="293"/>
      <c r="M38" s="293"/>
      <c r="N38" s="293"/>
      <c r="O38" s="293"/>
      <c r="P38" s="293"/>
    </row>
    <row r="39" spans="1:16" ht="18" hidden="1" x14ac:dyDescent="0.35">
      <c r="A39" s="1"/>
      <c r="B39" s="8"/>
      <c r="C39" s="285"/>
      <c r="D39" s="286" t="s">
        <v>39</v>
      </c>
      <c r="E39" s="289"/>
      <c r="F39" s="339"/>
      <c r="J39" s="293"/>
      <c r="K39" s="293"/>
      <c r="L39" s="293"/>
      <c r="M39" s="293"/>
      <c r="N39" s="293"/>
      <c r="O39" s="293"/>
      <c r="P39" s="293"/>
    </row>
    <row r="40" spans="1:16" ht="17.5" hidden="1" x14ac:dyDescent="0.35">
      <c r="A40" s="1"/>
      <c r="B40" s="8"/>
      <c r="C40" s="285"/>
      <c r="D40" s="142"/>
      <c r="E40" s="289"/>
      <c r="F40" s="339"/>
      <c r="J40" s="140"/>
      <c r="K40" s="140"/>
      <c r="L40" s="140"/>
      <c r="M40" s="140"/>
      <c r="N40" s="140"/>
      <c r="O40" s="140"/>
      <c r="P40" s="140"/>
    </row>
    <row r="41" spans="1:16" ht="18" hidden="1" x14ac:dyDescent="0.35">
      <c r="A41" s="1"/>
      <c r="B41" s="8"/>
      <c r="C41" s="285"/>
      <c r="D41" s="286" t="s">
        <v>40</v>
      </c>
      <c r="E41" s="289"/>
      <c r="F41" s="339"/>
      <c r="J41" s="141"/>
      <c r="K41" s="141"/>
      <c r="L41" s="141"/>
      <c r="M41" s="141"/>
      <c r="N41" s="141"/>
      <c r="O41" s="141"/>
      <c r="P41" s="141"/>
    </row>
    <row r="42" spans="1:16" ht="17.5" hidden="1" x14ac:dyDescent="0.35">
      <c r="A42" s="1"/>
      <c r="B42" s="8"/>
      <c r="C42" s="285"/>
      <c r="D42" s="288"/>
      <c r="E42" s="289"/>
      <c r="F42" s="339"/>
      <c r="J42" s="287"/>
      <c r="K42" s="287"/>
      <c r="L42" s="287"/>
      <c r="M42" s="287"/>
      <c r="N42" s="290"/>
      <c r="O42" s="290"/>
      <c r="P42" s="290"/>
    </row>
    <row r="43" spans="1:16" ht="17.5" x14ac:dyDescent="0.35">
      <c r="A43" s="1"/>
      <c r="B43" s="8"/>
      <c r="C43" s="8"/>
      <c r="D43" s="86"/>
      <c r="E43" s="289" t="s">
        <v>91</v>
      </c>
      <c r="F43" s="337">
        <f>MIN(F14:M14)</f>
        <v>1.7762190128560666</v>
      </c>
      <c r="I43" s="332"/>
      <c r="J43" s="1"/>
      <c r="K43" s="1"/>
      <c r="L43" s="1"/>
    </row>
    <row r="44" spans="1:16" x14ac:dyDescent="0.35">
      <c r="A44" s="1"/>
      <c r="B44" s="8"/>
      <c r="C44" s="260"/>
      <c r="D44" s="301"/>
      <c r="E44" s="301"/>
      <c r="F44" s="301"/>
      <c r="G44" s="261"/>
      <c r="H44" s="261"/>
      <c r="I44" s="261"/>
      <c r="J44" s="261"/>
      <c r="K44" s="262"/>
      <c r="L44" s="1"/>
    </row>
    <row r="45" spans="1:16" x14ac:dyDescent="0.35">
      <c r="A45" s="1"/>
      <c r="B45" s="1"/>
      <c r="C45" s="302"/>
      <c r="D45" s="303" t="s">
        <v>92</v>
      </c>
      <c r="E45" s="303" t="s">
        <v>93</v>
      </c>
      <c r="F45" s="304" t="s">
        <v>77</v>
      </c>
      <c r="G45" s="304" t="s">
        <v>94</v>
      </c>
      <c r="H45" s="304" t="s">
        <v>95</v>
      </c>
      <c r="I45" s="304" t="s">
        <v>96</v>
      </c>
      <c r="J45" s="131"/>
      <c r="K45" s="152"/>
      <c r="L45" s="1"/>
      <c r="M45" s="332"/>
      <c r="N45" s="332"/>
    </row>
    <row r="46" spans="1:16" x14ac:dyDescent="0.35">
      <c r="A46" s="1"/>
      <c r="B46" s="1"/>
      <c r="C46" s="302"/>
      <c r="D46" s="131" t="s">
        <v>78</v>
      </c>
      <c r="E46" s="131" t="s">
        <v>97</v>
      </c>
      <c r="F46" s="297">
        <v>0.25</v>
      </c>
      <c r="G46" s="300">
        <f>0.75*$F46</f>
        <v>0.1875</v>
      </c>
      <c r="H46" s="300">
        <f>1.25*$F46</f>
        <v>0.3125</v>
      </c>
      <c r="I46" s="299" t="s">
        <v>98</v>
      </c>
      <c r="J46" s="131"/>
      <c r="K46" s="152"/>
      <c r="L46" s="1"/>
      <c r="M46" s="333"/>
      <c r="N46" s="333"/>
    </row>
    <row r="47" spans="1:16" x14ac:dyDescent="0.35">
      <c r="A47" s="1"/>
      <c r="B47" s="1"/>
      <c r="C47" s="302"/>
      <c r="D47" s="131" t="s">
        <v>79</v>
      </c>
      <c r="E47" s="131" t="s">
        <v>99</v>
      </c>
      <c r="F47" s="297">
        <v>10.06</v>
      </c>
      <c r="G47" s="297">
        <f>0.75*$F47</f>
        <v>7.5449999999999999</v>
      </c>
      <c r="H47" s="297">
        <f>1.25*$F47</f>
        <v>12.575000000000001</v>
      </c>
      <c r="I47" s="299" t="s">
        <v>100</v>
      </c>
      <c r="J47" s="131"/>
      <c r="K47" s="152"/>
      <c r="L47" s="1"/>
    </row>
    <row r="48" spans="1:16" x14ac:dyDescent="0.35">
      <c r="A48" s="1"/>
      <c r="B48" s="1"/>
      <c r="C48" s="302"/>
      <c r="D48" s="131" t="s">
        <v>101</v>
      </c>
      <c r="E48" s="131" t="s">
        <v>102</v>
      </c>
      <c r="F48" s="298">
        <v>0.1</v>
      </c>
      <c r="G48" s="299">
        <f>0.75*$F48</f>
        <v>7.5000000000000011E-2</v>
      </c>
      <c r="H48" s="299">
        <f>1.25*$F48</f>
        <v>0.125</v>
      </c>
      <c r="I48" s="299" t="s">
        <v>103</v>
      </c>
      <c r="J48" s="131"/>
      <c r="K48" s="152"/>
      <c r="L48" s="1"/>
    </row>
    <row r="49" spans="1:12" x14ac:dyDescent="0.35">
      <c r="A49" s="1"/>
      <c r="B49" s="1"/>
      <c r="C49" s="302"/>
      <c r="D49" s="131" t="s">
        <v>104</v>
      </c>
      <c r="E49" s="131" t="s">
        <v>105</v>
      </c>
      <c r="F49" s="298">
        <v>0.1</v>
      </c>
      <c r="G49" s="299">
        <f>0.75*$F49</f>
        <v>7.5000000000000011E-2</v>
      </c>
      <c r="H49" s="299">
        <f>1.25*$F49</f>
        <v>0.125</v>
      </c>
      <c r="I49" s="299" t="s">
        <v>103</v>
      </c>
      <c r="J49" s="131"/>
      <c r="K49" s="152"/>
      <c r="L49" s="1"/>
    </row>
    <row r="50" spans="1:12" x14ac:dyDescent="0.35">
      <c r="A50" s="1"/>
      <c r="B50" s="1"/>
      <c r="C50" s="302"/>
      <c r="D50" s="131" t="s">
        <v>81</v>
      </c>
      <c r="E50" s="131" t="s">
        <v>106</v>
      </c>
      <c r="F50" s="131"/>
      <c r="G50" s="131"/>
      <c r="H50" s="131"/>
      <c r="I50" s="131"/>
      <c r="J50" s="131"/>
      <c r="K50" s="152"/>
      <c r="L50" s="1"/>
    </row>
    <row r="51" spans="1:12" x14ac:dyDescent="0.35">
      <c r="A51" s="1"/>
      <c r="B51" s="1"/>
      <c r="C51" s="302"/>
      <c r="D51" s="131"/>
      <c r="E51" s="131"/>
      <c r="F51" s="131"/>
      <c r="G51" s="131"/>
      <c r="H51" s="131"/>
      <c r="I51" s="131"/>
      <c r="J51" s="131"/>
      <c r="K51" s="152"/>
      <c r="L51" s="1"/>
    </row>
    <row r="52" spans="1:12" x14ac:dyDescent="0.35">
      <c r="A52" s="1"/>
      <c r="B52" s="1"/>
      <c r="C52" s="302"/>
      <c r="D52" s="131"/>
      <c r="E52" s="131"/>
      <c r="F52" s="131"/>
      <c r="G52" s="131"/>
      <c r="H52" s="131"/>
      <c r="I52" s="131"/>
      <c r="J52" s="131"/>
      <c r="K52" s="152"/>
      <c r="L52" s="1"/>
    </row>
    <row r="53" spans="1:12" x14ac:dyDescent="0.35">
      <c r="A53" s="1"/>
      <c r="B53" s="1"/>
      <c r="C53" s="302"/>
      <c r="D53" s="303" t="s">
        <v>82</v>
      </c>
      <c r="E53" s="131"/>
      <c r="F53" s="131"/>
      <c r="G53" s="131"/>
      <c r="H53" s="131"/>
      <c r="I53" s="131"/>
      <c r="J53" s="131"/>
      <c r="K53" s="152"/>
      <c r="L53" s="1"/>
    </row>
    <row r="54" spans="1:12" x14ac:dyDescent="0.35">
      <c r="A54" s="1"/>
      <c r="B54" s="1"/>
      <c r="C54" s="302"/>
      <c r="D54" s="304" t="s">
        <v>68</v>
      </c>
      <c r="E54" s="131"/>
      <c r="F54" s="305" t="s">
        <v>107</v>
      </c>
      <c r="G54" s="305" t="s">
        <v>95</v>
      </c>
      <c r="H54" s="131"/>
      <c r="I54" s="131"/>
      <c r="J54" s="131"/>
      <c r="K54" s="152"/>
      <c r="L54" s="1"/>
    </row>
    <row r="55" spans="1:12" x14ac:dyDescent="0.35">
      <c r="A55" s="1"/>
      <c r="B55" s="1"/>
      <c r="C55" s="302"/>
      <c r="D55" s="304">
        <f>'F.Params&amp;Assumptions(UserInput)'!F14</f>
        <v>2025</v>
      </c>
      <c r="E55" s="131" t="s">
        <v>108</v>
      </c>
      <c r="F55" s="306">
        <f>'D. Capital Costs (User Input)'!K15</f>
        <v>14755.052950948986</v>
      </c>
      <c r="G55" s="306">
        <f>F55*1.25</f>
        <v>18443.816188686233</v>
      </c>
      <c r="H55" s="131"/>
      <c r="I55" s="131"/>
      <c r="J55" s="131"/>
      <c r="K55" s="152"/>
      <c r="L55" s="1"/>
    </row>
    <row r="56" spans="1:12" x14ac:dyDescent="0.35">
      <c r="A56" s="1"/>
      <c r="B56" s="1"/>
      <c r="C56" s="302"/>
      <c r="D56" s="304">
        <f>D55+1</f>
        <v>2026</v>
      </c>
      <c r="E56" s="131" t="s">
        <v>109</v>
      </c>
      <c r="F56" s="306">
        <f>'D. Capital Costs (User Input)'!K16</f>
        <v>14030.78388671667</v>
      </c>
      <c r="G56" s="306">
        <f>F56*1.25</f>
        <v>17538.479858395836</v>
      </c>
      <c r="H56" s="131"/>
      <c r="I56" s="131"/>
      <c r="J56" s="131"/>
      <c r="K56" s="152"/>
      <c r="L56" s="1"/>
    </row>
    <row r="57" spans="1:12" x14ac:dyDescent="0.35">
      <c r="A57" s="1"/>
      <c r="B57" s="1"/>
      <c r="C57" s="302"/>
      <c r="D57" s="304">
        <f>D56+1</f>
        <v>2027</v>
      </c>
      <c r="E57" s="131" t="s">
        <v>110</v>
      </c>
      <c r="F57" s="306">
        <f>'D. Capital Costs (User Input)'!K17</f>
        <v>13342.066418208735</v>
      </c>
      <c r="G57" s="306">
        <f>F57*1.25</f>
        <v>16677.583022760919</v>
      </c>
      <c r="H57" s="131"/>
      <c r="I57" s="131"/>
      <c r="J57" s="131"/>
      <c r="K57" s="152"/>
      <c r="L57" s="1"/>
    </row>
    <row r="58" spans="1:12" x14ac:dyDescent="0.35">
      <c r="A58" s="1"/>
      <c r="B58" s="1"/>
      <c r="C58" s="302"/>
      <c r="D58" s="304"/>
      <c r="E58" s="131"/>
      <c r="F58" s="131"/>
      <c r="G58" s="131"/>
      <c r="H58" s="131"/>
      <c r="I58" s="131"/>
      <c r="J58" s="131"/>
      <c r="K58" s="152"/>
      <c r="L58" s="1"/>
    </row>
    <row r="59" spans="1:12" x14ac:dyDescent="0.35">
      <c r="A59" s="1"/>
      <c r="B59" s="1"/>
      <c r="C59" s="302"/>
      <c r="D59" s="330" t="s">
        <v>111</v>
      </c>
      <c r="E59" s="131"/>
      <c r="F59" s="131"/>
      <c r="G59" s="131"/>
      <c r="H59" s="131"/>
      <c r="I59" s="131"/>
      <c r="J59" s="131"/>
      <c r="K59" s="152"/>
      <c r="L59" s="1"/>
    </row>
    <row r="60" spans="1:12" x14ac:dyDescent="0.35">
      <c r="A60" s="1"/>
      <c r="B60" s="1"/>
      <c r="C60" s="302"/>
      <c r="D60" s="304"/>
      <c r="E60" s="131"/>
      <c r="F60" s="131"/>
      <c r="G60" s="131"/>
      <c r="H60" s="131"/>
      <c r="I60" s="131"/>
      <c r="J60" s="131"/>
      <c r="K60" s="152"/>
      <c r="L60" s="1"/>
    </row>
    <row r="61" spans="1:12" x14ac:dyDescent="0.35">
      <c r="A61" s="1"/>
      <c r="B61" s="1"/>
      <c r="C61" s="411"/>
      <c r="D61" s="412"/>
      <c r="E61" s="412"/>
      <c r="F61" s="412"/>
      <c r="G61" s="412"/>
      <c r="H61" s="412"/>
      <c r="I61" s="412"/>
      <c r="J61" s="412"/>
      <c r="K61" s="413"/>
      <c r="L61" s="1"/>
    </row>
    <row r="62" spans="1:12" x14ac:dyDescent="0.35">
      <c r="A62" s="1"/>
      <c r="B62" s="1"/>
      <c r="C62" s="1"/>
      <c r="D62" s="1"/>
      <c r="E62" s="1"/>
      <c r="F62" s="1"/>
      <c r="G62" s="1"/>
      <c r="H62" s="1"/>
      <c r="I62" s="1"/>
      <c r="J62" s="1"/>
      <c r="K62" s="1"/>
      <c r="L62" s="1"/>
    </row>
    <row r="63" spans="1:12" x14ac:dyDescent="0.35">
      <c r="A63" s="1"/>
      <c r="B63" s="1"/>
      <c r="C63" s="1"/>
      <c r="D63" s="1"/>
      <c r="E63" s="1"/>
      <c r="F63" s="1"/>
      <c r="G63" s="1"/>
      <c r="H63" s="1"/>
      <c r="I63" s="1"/>
      <c r="J63" s="1"/>
      <c r="K63" s="1"/>
      <c r="L63" s="1"/>
    </row>
    <row r="64" spans="1:12" x14ac:dyDescent="0.35">
      <c r="A64" s="1"/>
      <c r="B64" s="1"/>
      <c r="C64" s="1"/>
      <c r="D64" s="291"/>
      <c r="E64" s="291"/>
      <c r="F64" s="1"/>
      <c r="G64" s="1"/>
      <c r="H64" s="1"/>
      <c r="I64" s="1"/>
      <c r="J64" s="1"/>
      <c r="K64" s="1"/>
      <c r="L64" s="1"/>
    </row>
    <row r="65" spans="1:12" x14ac:dyDescent="0.35">
      <c r="A65" s="1"/>
      <c r="B65" s="1"/>
      <c r="C65" s="1"/>
      <c r="D65" s="1"/>
      <c r="E65" s="1"/>
      <c r="F65" s="1"/>
      <c r="G65" s="1"/>
      <c r="H65" s="1"/>
      <c r="I65" s="1"/>
      <c r="J65" s="1"/>
      <c r="K65" s="1"/>
      <c r="L65" s="1"/>
    </row>
    <row r="66" spans="1:12" x14ac:dyDescent="0.35">
      <c r="B66" s="1"/>
    </row>
    <row r="67" spans="1:12" x14ac:dyDescent="0.35">
      <c r="B67" s="1"/>
    </row>
    <row r="68" spans="1:12" x14ac:dyDescent="0.35">
      <c r="B68" s="1"/>
    </row>
    <row r="69" spans="1:12" x14ac:dyDescent="0.35">
      <c r="B69" s="1"/>
      <c r="C69" s="343"/>
    </row>
    <row r="70" spans="1:12" x14ac:dyDescent="0.35">
      <c r="B70" s="1"/>
      <c r="C70" s="343"/>
    </row>
    <row r="71" spans="1:12" x14ac:dyDescent="0.35">
      <c r="B71" s="1"/>
      <c r="C71" s="1"/>
      <c r="D71" s="1"/>
      <c r="E71" s="1"/>
    </row>
    <row r="72" spans="1:12" x14ac:dyDescent="0.35">
      <c r="B72" s="1"/>
      <c r="C72" s="1"/>
      <c r="D72" s="1"/>
      <c r="E72" s="1"/>
    </row>
    <row r="73" spans="1:12" x14ac:dyDescent="0.35">
      <c r="B73" s="1"/>
      <c r="C73" s="1"/>
      <c r="D73" s="1"/>
      <c r="E73" s="1"/>
    </row>
    <row r="74" spans="1:12" x14ac:dyDescent="0.35">
      <c r="B74" s="1"/>
      <c r="C74" s="1"/>
      <c r="D74" s="1"/>
      <c r="E74" s="1"/>
    </row>
    <row r="75" spans="1:12" x14ac:dyDescent="0.35">
      <c r="B75" s="1"/>
      <c r="C75" s="1"/>
      <c r="D75" s="1"/>
      <c r="E75" s="1"/>
    </row>
  </sheetData>
  <mergeCells count="6">
    <mergeCell ref="L7:L8"/>
    <mergeCell ref="E7:E8"/>
    <mergeCell ref="C7:D8"/>
    <mergeCell ref="F7:G7"/>
    <mergeCell ref="H7:I7"/>
    <mergeCell ref="J7:K7"/>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BA66A-7FA4-42B2-90D1-CABA992DDB71}">
  <sheetPr>
    <tabColor theme="5"/>
  </sheetPr>
  <dimension ref="A1:X32"/>
  <sheetViews>
    <sheetView zoomScale="115" zoomScaleNormal="115" workbookViewId="0">
      <selection activeCell="B36" sqref="B36:C36"/>
    </sheetView>
  </sheetViews>
  <sheetFormatPr defaultRowHeight="14.5" x14ac:dyDescent="0.35"/>
  <cols>
    <col min="1" max="1" width="14.26953125" customWidth="1"/>
    <col min="2" max="2" width="16.7265625" customWidth="1"/>
    <col min="3" max="7" width="24.54296875" customWidth="1"/>
    <col min="8" max="8" width="26" customWidth="1"/>
    <col min="9" max="9" width="24" customWidth="1"/>
    <col min="10" max="10" width="28.81640625" customWidth="1"/>
    <col min="11" max="11" width="32.7265625" customWidth="1"/>
    <col min="14" max="14" width="18.1796875" customWidth="1"/>
    <col min="16" max="16" width="23.54296875" bestFit="1" customWidth="1"/>
    <col min="17" max="17" width="24.7265625" customWidth="1"/>
    <col min="18" max="18" width="17.1796875" customWidth="1"/>
    <col min="19" max="19" width="15.7265625" customWidth="1"/>
    <col min="20" max="20" width="17.26953125" customWidth="1"/>
    <col min="21" max="21" width="14.81640625" customWidth="1"/>
  </cols>
  <sheetData>
    <row r="1" spans="1:24" ht="20" x14ac:dyDescent="0.4">
      <c r="A1" s="1"/>
      <c r="B1" s="2" t="s">
        <v>112</v>
      </c>
      <c r="C1" s="3"/>
      <c r="D1" s="4"/>
      <c r="E1" s="4"/>
      <c r="F1" s="5"/>
      <c r="G1" s="6"/>
      <c r="H1" s="6"/>
      <c r="I1" s="6"/>
      <c r="J1" s="6"/>
      <c r="K1" s="6"/>
      <c r="L1" s="6"/>
      <c r="M1" s="1"/>
      <c r="N1" s="1"/>
      <c r="O1" s="1"/>
      <c r="P1" s="2"/>
      <c r="Q1" s="3"/>
      <c r="R1" s="4"/>
      <c r="S1" s="4"/>
      <c r="T1" s="1"/>
      <c r="U1" s="1"/>
      <c r="V1" s="1"/>
      <c r="W1" s="1"/>
      <c r="X1" s="1"/>
    </row>
    <row r="2" spans="1:24" x14ac:dyDescent="0.35">
      <c r="A2" s="1"/>
      <c r="B2" s="3"/>
      <c r="C2" s="3"/>
      <c r="D2" s="4"/>
      <c r="E2" s="4"/>
      <c r="F2" s="4"/>
      <c r="G2" s="6"/>
      <c r="H2" s="6"/>
      <c r="I2" s="6"/>
      <c r="J2" s="6"/>
      <c r="K2" s="6"/>
      <c r="L2" s="6"/>
      <c r="M2" s="1"/>
      <c r="N2" s="1"/>
      <c r="O2" s="1"/>
      <c r="P2" s="3"/>
      <c r="Q2" s="3"/>
      <c r="R2" s="4"/>
      <c r="S2" s="4"/>
      <c r="T2" s="1"/>
      <c r="U2" s="1"/>
      <c r="V2" s="1"/>
      <c r="W2" s="1"/>
      <c r="X2" s="1"/>
    </row>
    <row r="3" spans="1:24" ht="17.5" x14ac:dyDescent="0.35">
      <c r="A3" s="1"/>
      <c r="B3" s="478" t="s">
        <v>113</v>
      </c>
      <c r="C3" s="478"/>
      <c r="D3" s="478"/>
      <c r="E3" s="478"/>
      <c r="F3" s="478"/>
      <c r="G3" s="478"/>
      <c r="H3" s="478"/>
      <c r="I3" s="478"/>
      <c r="J3" s="478"/>
      <c r="K3" s="478"/>
      <c r="L3" s="8"/>
      <c r="M3" s="1"/>
      <c r="N3" s="1"/>
      <c r="O3" s="1"/>
      <c r="P3" s="3"/>
      <c r="Q3" s="1"/>
      <c r="R3" s="8"/>
      <c r="S3" s="8"/>
      <c r="T3" s="1"/>
      <c r="U3" s="1"/>
      <c r="V3" s="1"/>
      <c r="W3" s="1"/>
      <c r="X3" s="1"/>
    </row>
    <row r="4" spans="1:24" ht="17.5" x14ac:dyDescent="0.35">
      <c r="A4" s="1"/>
      <c r="B4" s="478" t="s">
        <v>114</v>
      </c>
      <c r="C4" s="478"/>
      <c r="D4" s="478"/>
      <c r="E4" s="478"/>
      <c r="F4" s="478"/>
      <c r="G4" s="478"/>
      <c r="H4" s="478"/>
      <c r="I4" s="478"/>
      <c r="J4" s="478"/>
      <c r="K4" s="478"/>
      <c r="L4" s="8"/>
      <c r="M4" s="1"/>
      <c r="N4" s="1"/>
      <c r="O4" s="1"/>
      <c r="P4" s="3"/>
      <c r="Q4" s="1"/>
      <c r="R4" s="8"/>
      <c r="S4" s="8"/>
      <c r="T4" s="1"/>
      <c r="U4" s="1"/>
      <c r="V4" s="1"/>
      <c r="W4" s="1"/>
      <c r="X4" s="1"/>
    </row>
    <row r="5" spans="1:24" ht="17.5" x14ac:dyDescent="0.35">
      <c r="A5" s="1"/>
      <c r="B5" s="7" t="s">
        <v>115</v>
      </c>
      <c r="C5" s="7"/>
      <c r="D5" s="7"/>
      <c r="E5" s="7"/>
      <c r="F5" s="7"/>
      <c r="G5" s="7"/>
      <c r="H5" s="7"/>
      <c r="I5" s="7"/>
      <c r="J5" s="7"/>
      <c r="K5" s="7"/>
      <c r="L5" s="8"/>
      <c r="M5" s="1"/>
      <c r="N5" s="1"/>
      <c r="O5" s="1"/>
      <c r="P5" s="3"/>
      <c r="Q5" s="1"/>
      <c r="R5" s="8"/>
      <c r="S5" s="8"/>
      <c r="T5" s="1"/>
      <c r="U5" s="1"/>
      <c r="V5" s="1"/>
      <c r="W5" s="1"/>
      <c r="X5" s="1"/>
    </row>
    <row r="6" spans="1:24" ht="17.5" x14ac:dyDescent="0.35">
      <c r="A6" s="1"/>
      <c r="B6" s="7"/>
      <c r="C6" s="7"/>
      <c r="D6" s="7"/>
      <c r="E6" s="7"/>
      <c r="F6" s="7"/>
      <c r="G6" s="7"/>
      <c r="H6" s="7"/>
      <c r="I6" s="7"/>
      <c r="J6" s="7"/>
      <c r="K6" s="7"/>
      <c r="L6" s="8"/>
      <c r="M6" s="1"/>
      <c r="N6" s="1"/>
      <c r="O6" s="1"/>
      <c r="P6" s="3"/>
      <c r="Q6" s="1"/>
      <c r="R6" s="8"/>
      <c r="S6" s="8"/>
      <c r="T6" s="1"/>
      <c r="U6" s="1"/>
      <c r="V6" s="1"/>
      <c r="W6" s="1"/>
      <c r="X6" s="1"/>
    </row>
    <row r="7" spans="1:24" ht="17.5" x14ac:dyDescent="0.35">
      <c r="A7" s="1"/>
      <c r="B7" s="479" t="s">
        <v>116</v>
      </c>
      <c r="C7" s="479"/>
      <c r="D7" s="479"/>
      <c r="E7" s="479"/>
      <c r="F7" s="479"/>
      <c r="G7" s="479"/>
      <c r="H7" s="479"/>
      <c r="I7" s="479"/>
      <c r="J7" s="479"/>
      <c r="K7" s="479"/>
      <c r="L7" s="479"/>
      <c r="M7" s="479"/>
      <c r="N7" s="1"/>
      <c r="O7" s="1"/>
      <c r="P7" s="3"/>
      <c r="Q7" s="1"/>
      <c r="R7" s="8"/>
      <c r="S7" s="8"/>
      <c r="T7" s="1"/>
      <c r="U7" s="1"/>
      <c r="V7" s="1"/>
      <c r="W7" s="1"/>
      <c r="X7" s="1"/>
    </row>
    <row r="8" spans="1:24" ht="17.5" x14ac:dyDescent="0.35">
      <c r="A8" s="1"/>
      <c r="B8" s="479" t="s">
        <v>117</v>
      </c>
      <c r="C8" s="479"/>
      <c r="D8" s="479"/>
      <c r="E8" s="479"/>
      <c r="F8" s="479"/>
      <c r="G8" s="479"/>
      <c r="H8" s="479"/>
      <c r="I8" s="479"/>
      <c r="J8" s="479"/>
      <c r="K8" s="479"/>
      <c r="L8" s="479"/>
      <c r="M8" s="479"/>
      <c r="N8" s="1"/>
      <c r="O8" s="1"/>
      <c r="P8" s="3"/>
      <c r="Q8" s="1"/>
      <c r="R8" s="8"/>
      <c r="S8" s="8"/>
      <c r="T8" s="1"/>
      <c r="U8" s="1"/>
      <c r="V8" s="1"/>
      <c r="W8" s="1"/>
      <c r="X8" s="1"/>
    </row>
    <row r="9" spans="1:24" ht="17.5" x14ac:dyDescent="0.35">
      <c r="A9" s="1"/>
      <c r="B9" s="7"/>
      <c r="C9" s="1"/>
      <c r="D9" s="8"/>
      <c r="E9" s="8"/>
      <c r="F9" s="8"/>
      <c r="G9" s="9"/>
      <c r="H9" s="9"/>
      <c r="I9" s="9"/>
      <c r="J9" s="9"/>
      <c r="K9" s="8"/>
      <c r="L9" s="8"/>
      <c r="M9" s="1"/>
      <c r="N9" s="1"/>
      <c r="O9" s="1"/>
      <c r="P9" s="3"/>
      <c r="Q9" s="1"/>
      <c r="R9" s="8"/>
      <c r="S9" s="8"/>
      <c r="T9" s="1"/>
      <c r="U9" s="1"/>
      <c r="V9" s="1"/>
      <c r="W9" s="1"/>
      <c r="X9" s="1"/>
    </row>
    <row r="10" spans="1:24" ht="18" x14ac:dyDescent="0.35">
      <c r="B10" s="316" t="s">
        <v>112</v>
      </c>
      <c r="C10" s="316"/>
    </row>
    <row r="11" spans="1:24" s="362" customFormat="1" ht="21.75" customHeight="1" x14ac:dyDescent="0.35">
      <c r="A11" s="477" t="s">
        <v>118</v>
      </c>
      <c r="B11" s="475" t="s">
        <v>56</v>
      </c>
      <c r="C11" s="394" t="s">
        <v>119</v>
      </c>
      <c r="D11" s="394" t="s">
        <v>120</v>
      </c>
      <c r="E11" s="394" t="s">
        <v>121</v>
      </c>
      <c r="F11" s="394" t="s">
        <v>122</v>
      </c>
      <c r="G11" s="394" t="s">
        <v>123</v>
      </c>
      <c r="H11" s="394" t="s">
        <v>124</v>
      </c>
      <c r="I11" s="360" t="s">
        <v>112</v>
      </c>
      <c r="J11" s="360" t="s">
        <v>112</v>
      </c>
      <c r="K11" s="360" t="s">
        <v>125</v>
      </c>
    </row>
    <row r="12" spans="1:24" ht="16.5" customHeight="1" x14ac:dyDescent="0.35">
      <c r="A12" s="477"/>
      <c r="B12" s="476"/>
      <c r="C12" s="397" t="s">
        <v>126</v>
      </c>
      <c r="D12" s="397" t="s">
        <v>126</v>
      </c>
      <c r="E12" s="397" t="s">
        <v>126</v>
      </c>
      <c r="F12" s="397" t="s">
        <v>126</v>
      </c>
      <c r="G12" s="397" t="s">
        <v>126</v>
      </c>
      <c r="H12" s="397" t="s">
        <v>126</v>
      </c>
      <c r="I12" s="361" t="s">
        <v>126</v>
      </c>
      <c r="J12" s="361" t="str">
        <f>_xlfn.CONCAT(CurrentDollarYear, "$")</f>
        <v>2022$</v>
      </c>
      <c r="K12" s="361" t="str">
        <f>_xlfn.CONCAT(CurrentDollarYear, "$")</f>
        <v>2022$</v>
      </c>
    </row>
    <row r="13" spans="1:24" x14ac:dyDescent="0.35">
      <c r="A13" s="294">
        <f>CurrentDollarYear</f>
        <v>2022</v>
      </c>
      <c r="B13" s="100" t="s">
        <v>127</v>
      </c>
      <c r="C13" s="358"/>
      <c r="D13" s="102"/>
      <c r="E13" s="102"/>
      <c r="F13" s="102"/>
      <c r="G13" s="102"/>
      <c r="H13" s="102"/>
      <c r="I13" s="102"/>
      <c r="J13" s="350">
        <v>0</v>
      </c>
      <c r="K13" s="215">
        <f>J13/(1+RealDiscountRate)^('D. Capital Costs (User Input)'!A13-CurrentDollarYear)</f>
        <v>0</v>
      </c>
    </row>
    <row r="14" spans="1:24" x14ac:dyDescent="0.35">
      <c r="B14" s="100" t="s">
        <v>69</v>
      </c>
      <c r="C14" s="101"/>
      <c r="D14" s="102"/>
      <c r="E14" s="102"/>
      <c r="F14" s="102"/>
      <c r="G14" s="102"/>
      <c r="H14" s="102"/>
      <c r="I14" s="102"/>
      <c r="J14" s="102"/>
      <c r="K14" s="103"/>
    </row>
    <row r="15" spans="1:24" x14ac:dyDescent="0.35">
      <c r="A15" s="294">
        <f>'F.Params&amp;Assumptions(UserInput)'!F14</f>
        <v>2025</v>
      </c>
      <c r="B15" s="395">
        <v>1</v>
      </c>
      <c r="C15" s="350">
        <v>3120</v>
      </c>
      <c r="D15" s="350">
        <f t="shared" ref="D15:D17" si="0">C15</f>
        <v>3120</v>
      </c>
      <c r="E15" s="350">
        <f t="shared" ref="E15:E17" si="1">C15</f>
        <v>3120</v>
      </c>
      <c r="F15" s="350">
        <f t="shared" ref="F15:F17" si="2">C15</f>
        <v>3120</v>
      </c>
      <c r="G15" s="350">
        <f t="shared" ref="G15:G17" si="3">C15</f>
        <v>3120</v>
      </c>
      <c r="H15" s="350">
        <f>SUM(C15:G15)*0.1</f>
        <v>1560</v>
      </c>
      <c r="I15" s="215">
        <f>SUM(C15:H15)</f>
        <v>17160</v>
      </c>
      <c r="J15" s="215">
        <f>I15/(1+'F.Params&amp;Assumptions(UserInput)'!F19)^(A15-CurrentDollarYear)</f>
        <v>16170.251260827285</v>
      </c>
      <c r="K15" s="215">
        <f>J15/(1+RealDiscountRate)^('D. Capital Costs (User Input)'!A15-CurrentDollarYear)</f>
        <v>14755.052950948986</v>
      </c>
    </row>
    <row r="16" spans="1:24" x14ac:dyDescent="0.35">
      <c r="A16" s="294">
        <f>A15+1</f>
        <v>2026</v>
      </c>
      <c r="B16" s="396">
        <v>2</v>
      </c>
      <c r="C16" s="350">
        <f>C15</f>
        <v>3120</v>
      </c>
      <c r="D16" s="350">
        <f t="shared" si="0"/>
        <v>3120</v>
      </c>
      <c r="E16" s="350">
        <f t="shared" si="1"/>
        <v>3120</v>
      </c>
      <c r="F16" s="350">
        <f t="shared" si="2"/>
        <v>3120</v>
      </c>
      <c r="G16" s="350">
        <f t="shared" si="3"/>
        <v>3120</v>
      </c>
      <c r="H16" s="350">
        <f t="shared" ref="H16:H17" si="4">SUM(C16:G16)*0.1</f>
        <v>1560</v>
      </c>
      <c r="I16" s="215">
        <f t="shared" ref="I16:I17" si="5">SUM(C16:H16)</f>
        <v>17160</v>
      </c>
      <c r="J16" s="215">
        <f>I16/(1+'F.Params&amp;Assumptions(UserInput)'!F19)^(A16-CurrentDollarYear)</f>
        <v>15853.187510614984</v>
      </c>
      <c r="K16" s="215">
        <f>J16/(1+RealDiscountRate)^('D. Capital Costs (User Input)'!A16-CurrentDollarYear)</f>
        <v>14030.78388671667</v>
      </c>
    </row>
    <row r="17" spans="1:11" x14ac:dyDescent="0.35">
      <c r="A17" s="294">
        <f>A16+1</f>
        <v>2027</v>
      </c>
      <c r="B17" s="396">
        <v>3</v>
      </c>
      <c r="C17" s="350">
        <f>C15</f>
        <v>3120</v>
      </c>
      <c r="D17" s="350">
        <f t="shared" si="0"/>
        <v>3120</v>
      </c>
      <c r="E17" s="350">
        <f t="shared" si="1"/>
        <v>3120</v>
      </c>
      <c r="F17" s="350">
        <f t="shared" si="2"/>
        <v>3120</v>
      </c>
      <c r="G17" s="350">
        <f t="shared" si="3"/>
        <v>3120</v>
      </c>
      <c r="H17" s="350">
        <f t="shared" si="4"/>
        <v>1560</v>
      </c>
      <c r="I17" s="215">
        <f t="shared" si="5"/>
        <v>17160</v>
      </c>
      <c r="J17" s="215">
        <f>I17/(1+'F.Params&amp;Assumptions(UserInput)'!F19)^(A17-CurrentDollarYear)</f>
        <v>15542.340696681356</v>
      </c>
      <c r="K17" s="215">
        <f>J17/(1+RealDiscountRate)^('D. Capital Costs (User Input)'!A17-CurrentDollarYear)</f>
        <v>13342.066418208735</v>
      </c>
    </row>
    <row r="18" spans="1:11" x14ac:dyDescent="0.35">
      <c r="B18" s="218" t="s">
        <v>71</v>
      </c>
      <c r="C18" s="219">
        <f>SUM(C15:C17)</f>
        <v>9360</v>
      </c>
      <c r="D18" s="219">
        <f t="shared" ref="D18:H18" si="6">SUM(D15:D17)</f>
        <v>9360</v>
      </c>
      <c r="E18" s="219">
        <f t="shared" si="6"/>
        <v>9360</v>
      </c>
      <c r="F18" s="219">
        <f t="shared" si="6"/>
        <v>9360</v>
      </c>
      <c r="G18" s="219">
        <f t="shared" si="6"/>
        <v>9360</v>
      </c>
      <c r="H18" s="219">
        <f t="shared" si="6"/>
        <v>4680</v>
      </c>
      <c r="I18" s="220">
        <f>SUM(I15:I17)</f>
        <v>51480</v>
      </c>
      <c r="J18" s="220">
        <f t="shared" ref="J18" si="7">SUM(J15:J17)</f>
        <v>47565.779468123626</v>
      </c>
      <c r="K18" s="220">
        <f>SUM(K13:K17)</f>
        <v>42127.903255874393</v>
      </c>
    </row>
    <row r="19" spans="1:11" x14ac:dyDescent="0.35">
      <c r="I19" s="318"/>
    </row>
    <row r="21" spans="1:11" x14ac:dyDescent="0.35">
      <c r="B21" t="s">
        <v>128</v>
      </c>
    </row>
    <row r="22" spans="1:11" x14ac:dyDescent="0.35">
      <c r="B22" t="s">
        <v>129</v>
      </c>
    </row>
    <row r="23" spans="1:11" x14ac:dyDescent="0.35">
      <c r="B23" t="s">
        <v>130</v>
      </c>
    </row>
    <row r="24" spans="1:11" x14ac:dyDescent="0.35">
      <c r="B24" t="s">
        <v>131</v>
      </c>
    </row>
    <row r="25" spans="1:11" x14ac:dyDescent="0.35">
      <c r="B25" t="s">
        <v>132</v>
      </c>
    </row>
    <row r="26" spans="1:11" x14ac:dyDescent="0.35">
      <c r="B26" t="s">
        <v>133</v>
      </c>
    </row>
    <row r="27" spans="1:11" x14ac:dyDescent="0.35">
      <c r="B27" t="s">
        <v>134</v>
      </c>
    </row>
    <row r="28" spans="1:11" x14ac:dyDescent="0.35">
      <c r="B28" t="s">
        <v>135</v>
      </c>
    </row>
    <row r="29" spans="1:11" x14ac:dyDescent="0.35">
      <c r="B29" t="s">
        <v>136</v>
      </c>
    </row>
    <row r="30" spans="1:11" x14ac:dyDescent="0.35">
      <c r="B30" t="s">
        <v>137</v>
      </c>
    </row>
    <row r="31" spans="1:11" x14ac:dyDescent="0.35">
      <c r="B31" s="144" t="s">
        <v>138</v>
      </c>
    </row>
    <row r="32" spans="1:11" x14ac:dyDescent="0.35">
      <c r="B32" s="144" t="s">
        <v>4</v>
      </c>
    </row>
  </sheetData>
  <mergeCells count="6">
    <mergeCell ref="B11:B12"/>
    <mergeCell ref="A11:A12"/>
    <mergeCell ref="B3:K3"/>
    <mergeCell ref="B4:K4"/>
    <mergeCell ref="B7:M7"/>
    <mergeCell ref="B8:M8"/>
  </mergeCells>
  <hyperlinks>
    <hyperlink ref="B31" r:id="rId1" xr:uid="{2A8D1ACA-5BF0-4051-A993-571D9AD6EE4C}"/>
    <hyperlink ref="B32" r:id="rId2" xr:uid="{0EBEF959-3CCC-4395-AFE1-F2BAA21A626A}"/>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8F98-C500-4C60-99CC-163437E6FCAD}">
  <sheetPr>
    <tabColor theme="5"/>
  </sheetPr>
  <dimension ref="A1:X26"/>
  <sheetViews>
    <sheetView zoomScale="160" zoomScaleNormal="160" workbookViewId="0">
      <selection activeCell="C28" sqref="C28"/>
    </sheetView>
  </sheetViews>
  <sheetFormatPr defaultRowHeight="14.5" x14ac:dyDescent="0.35"/>
  <cols>
    <col min="1" max="1" width="14.7265625" customWidth="1"/>
    <col min="2" max="2" width="31.453125" customWidth="1"/>
    <col min="3" max="4" width="25.26953125" customWidth="1"/>
    <col min="5" max="5" width="31.7265625" customWidth="1"/>
    <col min="6" max="6" width="35.453125" customWidth="1"/>
    <col min="7" max="8" width="17.81640625" customWidth="1"/>
    <col min="9" max="9" width="14.26953125" customWidth="1"/>
    <col min="10" max="10" width="19" customWidth="1"/>
    <col min="11" max="11" width="25.54296875" customWidth="1"/>
  </cols>
  <sheetData>
    <row r="1" spans="1:24" ht="20" x14ac:dyDescent="0.4">
      <c r="A1" s="1"/>
      <c r="B1" s="2" t="s">
        <v>139</v>
      </c>
      <c r="C1" s="2"/>
      <c r="D1" s="2"/>
      <c r="E1" s="2"/>
      <c r="F1" s="6"/>
      <c r="G1" s="6"/>
      <c r="H1" s="6"/>
      <c r="I1" s="6"/>
      <c r="J1" s="1"/>
      <c r="K1" s="2"/>
      <c r="L1" s="3"/>
      <c r="M1" s="4"/>
      <c r="N1" s="4"/>
      <c r="O1" s="1"/>
      <c r="P1" s="1"/>
      <c r="Q1" s="1"/>
      <c r="R1" s="1"/>
      <c r="S1" s="1"/>
    </row>
    <row r="2" spans="1:24" x14ac:dyDescent="0.35">
      <c r="A2" s="1"/>
      <c r="B2" s="3"/>
      <c r="C2" s="3"/>
      <c r="D2" s="3"/>
      <c r="E2" s="3"/>
      <c r="F2" s="6"/>
      <c r="G2" s="6"/>
      <c r="H2" s="6"/>
      <c r="I2" s="6"/>
      <c r="J2" s="1"/>
      <c r="K2" s="3"/>
      <c r="L2" s="3"/>
      <c r="M2" s="4"/>
      <c r="N2" s="4"/>
      <c r="O2" s="1"/>
      <c r="P2" s="1"/>
      <c r="Q2" s="1"/>
      <c r="R2" s="1"/>
      <c r="S2" s="1"/>
    </row>
    <row r="3" spans="1:24" ht="17.5" x14ac:dyDescent="0.35">
      <c r="A3" s="1"/>
      <c r="B3" s="478" t="s">
        <v>140</v>
      </c>
      <c r="C3" s="478"/>
      <c r="D3" s="478"/>
      <c r="E3" s="478"/>
      <c r="F3" s="478"/>
      <c r="G3" s="478"/>
      <c r="H3" s="478"/>
      <c r="I3" s="478"/>
      <c r="J3" s="478"/>
      <c r="K3" s="478"/>
      <c r="L3" s="1"/>
      <c r="M3" s="8"/>
      <c r="N3" s="8"/>
      <c r="O3" s="1"/>
      <c r="P3" s="1"/>
      <c r="Q3" s="1"/>
      <c r="R3" s="1"/>
      <c r="S3" s="1"/>
    </row>
    <row r="4" spans="1:24" ht="17.25" customHeight="1" x14ac:dyDescent="0.35">
      <c r="A4" s="1"/>
      <c r="B4" s="481" t="s">
        <v>141</v>
      </c>
      <c r="C4" s="481"/>
      <c r="D4" s="481"/>
      <c r="E4" s="481"/>
      <c r="F4" s="481"/>
      <c r="G4" s="481"/>
      <c r="H4" s="481"/>
      <c r="I4" s="481"/>
      <c r="J4" s="481"/>
      <c r="K4" s="481"/>
      <c r="L4" s="1"/>
      <c r="M4" s="8"/>
      <c r="N4" s="8"/>
      <c r="O4" s="1"/>
      <c r="P4" s="1"/>
      <c r="Q4" s="1"/>
      <c r="R4" s="1"/>
      <c r="S4" s="1"/>
    </row>
    <row r="5" spans="1:24" ht="17.5" x14ac:dyDescent="0.35">
      <c r="A5" s="1"/>
      <c r="B5" s="7"/>
      <c r="C5" s="7"/>
      <c r="D5" s="7"/>
      <c r="E5" s="7"/>
      <c r="F5" s="7"/>
      <c r="G5" s="7"/>
      <c r="H5" s="7"/>
      <c r="I5" s="7"/>
      <c r="J5" s="7"/>
      <c r="K5" s="7"/>
      <c r="L5" s="8"/>
      <c r="M5" s="1"/>
      <c r="N5" s="1"/>
      <c r="O5" s="1"/>
      <c r="P5" s="3"/>
      <c r="Q5" s="1"/>
      <c r="R5" s="8"/>
      <c r="S5" s="8"/>
      <c r="T5" s="1"/>
      <c r="U5" s="1"/>
      <c r="V5" s="1"/>
      <c r="W5" s="1"/>
      <c r="X5" s="1"/>
    </row>
    <row r="6" spans="1:24" ht="17.5" x14ac:dyDescent="0.35">
      <c r="A6" s="1"/>
      <c r="B6" s="479" t="s">
        <v>142</v>
      </c>
      <c r="C6" s="479"/>
      <c r="D6" s="479"/>
      <c r="E6" s="479"/>
      <c r="F6" s="479"/>
      <c r="G6" s="479"/>
      <c r="H6" s="479"/>
      <c r="I6" s="479"/>
      <c r="J6" s="479"/>
      <c r="K6" s="479"/>
      <c r="L6" s="8"/>
      <c r="M6" s="1"/>
      <c r="N6" s="1"/>
      <c r="O6" s="1"/>
      <c r="P6" s="3"/>
      <c r="Q6" s="1"/>
      <c r="R6" s="8"/>
      <c r="S6" s="8"/>
      <c r="T6" s="1"/>
      <c r="U6" s="1"/>
      <c r="V6" s="1"/>
      <c r="W6" s="1"/>
      <c r="X6" s="1"/>
    </row>
    <row r="7" spans="1:24" ht="17.5" x14ac:dyDescent="0.35">
      <c r="A7" s="1"/>
      <c r="B7" s="479" t="s">
        <v>143</v>
      </c>
      <c r="C7" s="479"/>
      <c r="D7" s="479"/>
      <c r="E7" s="479"/>
      <c r="F7" s="479"/>
      <c r="G7" s="479"/>
      <c r="H7" s="479"/>
      <c r="I7" s="479"/>
      <c r="J7" s="479"/>
      <c r="K7" s="479"/>
      <c r="L7" s="479"/>
      <c r="M7" s="479"/>
      <c r="N7" s="1"/>
      <c r="O7" s="1"/>
      <c r="P7" s="3"/>
      <c r="Q7" s="1"/>
      <c r="R7" s="8"/>
      <c r="S7" s="8"/>
      <c r="T7" s="1"/>
      <c r="U7" s="1"/>
      <c r="V7" s="1"/>
      <c r="W7" s="1"/>
      <c r="X7" s="1"/>
    </row>
    <row r="8" spans="1:24" ht="17.5" x14ac:dyDescent="0.35">
      <c r="A8" s="1"/>
      <c r="B8" s="7"/>
      <c r="C8" s="7"/>
      <c r="D8" s="7"/>
      <c r="E8" s="7"/>
      <c r="F8" s="9"/>
      <c r="G8" s="8"/>
      <c r="H8" s="8"/>
      <c r="I8" s="8"/>
      <c r="J8" s="1"/>
      <c r="K8" s="7"/>
      <c r="L8" s="1"/>
      <c r="M8" s="8"/>
      <c r="N8" s="8"/>
      <c r="O8" s="1"/>
      <c r="P8" s="1"/>
      <c r="Q8" s="1"/>
      <c r="R8" s="1"/>
      <c r="S8" s="1"/>
    </row>
    <row r="9" spans="1:24" ht="18" x14ac:dyDescent="0.35">
      <c r="B9" s="316" t="s">
        <v>144</v>
      </c>
    </row>
    <row r="10" spans="1:24" ht="18" customHeight="1" x14ac:dyDescent="0.35">
      <c r="A10" s="480" t="s">
        <v>118</v>
      </c>
      <c r="B10" s="475" t="s">
        <v>56</v>
      </c>
      <c r="C10" s="360" t="s">
        <v>145</v>
      </c>
      <c r="D10" s="360" t="s">
        <v>146</v>
      </c>
      <c r="E10" s="360" t="s">
        <v>147</v>
      </c>
      <c r="F10" s="360" t="s">
        <v>148</v>
      </c>
    </row>
    <row r="11" spans="1:24" ht="15.5" x14ac:dyDescent="0.35">
      <c r="A11" s="480"/>
      <c r="B11" s="476"/>
      <c r="C11" s="361" t="str">
        <f>_xlfn.CONCAT(CurrentDollarYear, "$")</f>
        <v>2022$</v>
      </c>
      <c r="D11" s="361" t="str">
        <f>_xlfn.CONCAT(CurrentDollarYear, "$")</f>
        <v>2022$</v>
      </c>
      <c r="E11" s="361" t="str">
        <f>_xlfn.CONCAT(CurrentDollarYear, "$")</f>
        <v>2022$</v>
      </c>
      <c r="F11" s="361" t="str">
        <f>_xlfn.CONCAT(CurrentDollarYear, "$")</f>
        <v>2022$</v>
      </c>
    </row>
    <row r="12" spans="1:24" x14ac:dyDescent="0.35">
      <c r="A12" s="480"/>
      <c r="B12" s="112" t="s">
        <v>70</v>
      </c>
      <c r="C12" s="359"/>
      <c r="D12" s="359"/>
      <c r="E12" s="359"/>
      <c r="F12" s="363"/>
    </row>
    <row r="13" spans="1:24" x14ac:dyDescent="0.35">
      <c r="A13" s="294">
        <f>'F.Params&amp;Assumptions(UserInput)'!F16</f>
        <v>2028</v>
      </c>
      <c r="B13" s="216">
        <v>1</v>
      </c>
      <c r="C13" s="350">
        <v>0</v>
      </c>
      <c r="D13" s="350">
        <v>18328.2</v>
      </c>
      <c r="E13" s="217">
        <f>D13-C13</f>
        <v>18328.2</v>
      </c>
      <c r="F13" s="217">
        <f>E13/(1+RealDiscountRate)^('E. O&amp;M Costs (User Input)'!A13-CurrentDollarYear)</f>
        <v>15260.466982857888</v>
      </c>
    </row>
    <row r="14" spans="1:24" x14ac:dyDescent="0.35">
      <c r="A14" s="294">
        <f>A13+1</f>
        <v>2029</v>
      </c>
      <c r="B14" s="114">
        <v>2</v>
      </c>
      <c r="C14" s="350">
        <v>0</v>
      </c>
      <c r="D14" s="350">
        <f>D13</f>
        <v>18328.2</v>
      </c>
      <c r="E14" s="217">
        <f t="shared" ref="E14:E22" si="0">D14-C14</f>
        <v>18328.2</v>
      </c>
      <c r="F14" s="217">
        <f>E14/(1+RealDiscountRate)^('E. O&amp;M Costs (User Input)'!A14-CurrentDollarYear)</f>
        <v>14801.61686019194</v>
      </c>
    </row>
    <row r="15" spans="1:24" x14ac:dyDescent="0.35">
      <c r="A15" s="294">
        <f t="shared" ref="A15:A22" si="1">A14+1</f>
        <v>2030</v>
      </c>
      <c r="B15" s="114">
        <v>3</v>
      </c>
      <c r="C15" s="350">
        <v>0</v>
      </c>
      <c r="D15" s="350">
        <f t="shared" ref="D15:D22" si="2">D14</f>
        <v>18328.2</v>
      </c>
      <c r="E15" s="217">
        <f t="shared" si="0"/>
        <v>18328.2</v>
      </c>
      <c r="F15" s="217">
        <f>E15/(1+RealDiscountRate)^('E. O&amp;M Costs (User Input)'!A15-CurrentDollarYear)</f>
        <v>14356.563394948535</v>
      </c>
    </row>
    <row r="16" spans="1:24" x14ac:dyDescent="0.35">
      <c r="A16" s="294">
        <f t="shared" si="1"/>
        <v>2031</v>
      </c>
      <c r="B16" s="114">
        <v>4</v>
      </c>
      <c r="C16" s="350">
        <v>0</v>
      </c>
      <c r="D16" s="350">
        <f t="shared" si="2"/>
        <v>18328.2</v>
      </c>
      <c r="E16" s="217">
        <f t="shared" si="0"/>
        <v>18328.2</v>
      </c>
      <c r="F16" s="217">
        <f>E16/(1+RealDiscountRate)^('E. O&amp;M Costs (User Input)'!A16-CurrentDollarYear)</f>
        <v>13924.891750677534</v>
      </c>
    </row>
    <row r="17" spans="1:7" x14ac:dyDescent="0.35">
      <c r="A17" s="294">
        <f t="shared" si="1"/>
        <v>2032</v>
      </c>
      <c r="B17" s="114">
        <v>5</v>
      </c>
      <c r="C17" s="350">
        <v>0</v>
      </c>
      <c r="D17" s="350">
        <f t="shared" si="2"/>
        <v>18328.2</v>
      </c>
      <c r="E17" s="217">
        <f t="shared" si="0"/>
        <v>18328.2</v>
      </c>
      <c r="F17" s="217">
        <f>E17/(1+RealDiscountRate)^('E. O&amp;M Costs (User Input)'!A17-CurrentDollarYear)</f>
        <v>13506.199564187715</v>
      </c>
    </row>
    <row r="18" spans="1:7" x14ac:dyDescent="0.35">
      <c r="A18" s="294">
        <f t="shared" si="1"/>
        <v>2033</v>
      </c>
      <c r="B18" s="114">
        <v>6</v>
      </c>
      <c r="C18" s="350">
        <v>0</v>
      </c>
      <c r="D18" s="350">
        <f t="shared" si="2"/>
        <v>18328.2</v>
      </c>
      <c r="E18" s="217">
        <f t="shared" si="0"/>
        <v>18328.2</v>
      </c>
      <c r="F18" s="217">
        <f>E18/(1+RealDiscountRate)^('E. O&amp;M Costs (User Input)'!A18-CurrentDollarYear)</f>
        <v>13100.096570502148</v>
      </c>
    </row>
    <row r="19" spans="1:7" x14ac:dyDescent="0.35">
      <c r="A19" s="294">
        <f t="shared" si="1"/>
        <v>2034</v>
      </c>
      <c r="B19" s="114">
        <v>7</v>
      </c>
      <c r="C19" s="350">
        <v>0</v>
      </c>
      <c r="D19" s="350">
        <f t="shared" si="2"/>
        <v>18328.2</v>
      </c>
      <c r="E19" s="217">
        <f t="shared" si="0"/>
        <v>18328.2</v>
      </c>
      <c r="F19" s="217">
        <f>E19/(1+RealDiscountRate)^('E. O&amp;M Costs (User Input)'!A19-CurrentDollarYear)</f>
        <v>12706.204239090348</v>
      </c>
    </row>
    <row r="20" spans="1:7" x14ac:dyDescent="0.35">
      <c r="A20" s="294">
        <f t="shared" si="1"/>
        <v>2035</v>
      </c>
      <c r="B20" s="114">
        <v>8</v>
      </c>
      <c r="C20" s="350">
        <v>0</v>
      </c>
      <c r="D20" s="350">
        <f t="shared" si="2"/>
        <v>18328.2</v>
      </c>
      <c r="E20" s="217">
        <f t="shared" si="0"/>
        <v>18328.2</v>
      </c>
      <c r="F20" s="217">
        <f>E20/(1+RealDiscountRate)^('E. O&amp;M Costs (User Input)'!A20-CurrentDollarYear)</f>
        <v>12324.155421038166</v>
      </c>
    </row>
    <row r="21" spans="1:7" x14ac:dyDescent="0.35">
      <c r="A21" s="294">
        <f t="shared" si="1"/>
        <v>2036</v>
      </c>
      <c r="B21" s="114">
        <v>9</v>
      </c>
      <c r="C21" s="350">
        <v>0</v>
      </c>
      <c r="D21" s="350">
        <f t="shared" si="2"/>
        <v>18328.2</v>
      </c>
      <c r="E21" s="217">
        <f t="shared" si="0"/>
        <v>18328.2</v>
      </c>
      <c r="F21" s="217">
        <f>E21/(1+RealDiscountRate)^('E. O&amp;M Costs (User Input)'!A21-CurrentDollarYear)</f>
        <v>11953.594006826545</v>
      </c>
    </row>
    <row r="22" spans="1:7" x14ac:dyDescent="0.35">
      <c r="A22" s="294">
        <f t="shared" si="1"/>
        <v>2037</v>
      </c>
      <c r="B22" s="114">
        <v>10</v>
      </c>
      <c r="C22" s="350">
        <v>0</v>
      </c>
      <c r="D22" s="350">
        <f t="shared" si="2"/>
        <v>18328.2</v>
      </c>
      <c r="E22" s="217">
        <f t="shared" si="0"/>
        <v>18328.2</v>
      </c>
      <c r="F22" s="217">
        <f>E22/(1+RealDiscountRate)^('E. O&amp;M Costs (User Input)'!A22-CurrentDollarYear)</f>
        <v>11594.17459440014</v>
      </c>
    </row>
    <row r="23" spans="1:7" x14ac:dyDescent="0.35">
      <c r="A23" s="294"/>
      <c r="B23" s="218" t="s">
        <v>71</v>
      </c>
      <c r="C23" s="219">
        <f>SUM(C13:C22)</f>
        <v>0</v>
      </c>
      <c r="D23" s="219">
        <f>SUM(D13:D22)</f>
        <v>183282.00000000003</v>
      </c>
      <c r="E23" s="220">
        <f>SUM(E13:E22)</f>
        <v>183282.00000000003</v>
      </c>
      <c r="F23" s="220">
        <f>SUM(F13:F22)</f>
        <v>133527.96338472096</v>
      </c>
    </row>
    <row r="24" spans="1:7" x14ac:dyDescent="0.35">
      <c r="F24" s="335"/>
      <c r="G24" s="336"/>
    </row>
    <row r="26" spans="1:7" x14ac:dyDescent="0.35">
      <c r="B26" s="341"/>
      <c r="C26" s="341"/>
      <c r="D26" s="341"/>
      <c r="E26" s="341"/>
    </row>
  </sheetData>
  <mergeCells count="6">
    <mergeCell ref="B10:B11"/>
    <mergeCell ref="A10:A12"/>
    <mergeCell ref="B6:K6"/>
    <mergeCell ref="B4:K4"/>
    <mergeCell ref="B3:K3"/>
    <mergeCell ref="B7:M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2E81-47C7-44D6-AB80-36A442C39308}">
  <sheetPr>
    <tabColor theme="3"/>
  </sheetPr>
  <dimension ref="A1:X153"/>
  <sheetViews>
    <sheetView zoomScaleNormal="100" workbookViewId="0">
      <pane ySplit="1" topLeftCell="A63" activePane="bottomLeft" state="frozen"/>
      <selection pane="bottomLeft" activeCell="F36" sqref="F36"/>
    </sheetView>
  </sheetViews>
  <sheetFormatPr defaultRowHeight="14.5" x14ac:dyDescent="0.35"/>
  <cols>
    <col min="1" max="1" width="14.453125" bestFit="1" customWidth="1"/>
    <col min="2" max="2" width="37.26953125" customWidth="1"/>
    <col min="4" max="4" width="14.81640625" bestFit="1" customWidth="1"/>
    <col min="5" max="5" width="54.7265625" customWidth="1"/>
    <col min="6" max="6" width="23.1796875" customWidth="1"/>
    <col min="7" max="7" width="30.26953125" customWidth="1"/>
    <col min="8" max="9" width="29.26953125" customWidth="1"/>
    <col min="10" max="10" width="56.453125" customWidth="1"/>
    <col min="11" max="11" width="17.54296875" style="125" customWidth="1"/>
    <col min="12" max="12" width="19.1796875" customWidth="1"/>
  </cols>
  <sheetData>
    <row r="1" spans="1:24" ht="20" x14ac:dyDescent="0.4">
      <c r="A1" s="116"/>
      <c r="B1" s="117" t="s">
        <v>149</v>
      </c>
      <c r="C1" s="116"/>
      <c r="D1" s="116"/>
      <c r="E1" s="116"/>
      <c r="F1" s="118"/>
      <c r="G1" s="118"/>
      <c r="H1" s="118"/>
      <c r="I1" s="118"/>
      <c r="J1" s="118"/>
    </row>
    <row r="2" spans="1:24" x14ac:dyDescent="0.35">
      <c r="A2" s="116"/>
      <c r="B2" s="116"/>
      <c r="C2" s="116"/>
      <c r="D2" s="116"/>
      <c r="E2" s="116"/>
      <c r="F2" s="118"/>
      <c r="G2" s="118"/>
      <c r="H2" s="118"/>
      <c r="I2" s="118"/>
      <c r="J2" s="118"/>
    </row>
    <row r="3" spans="1:24" ht="17.5" x14ac:dyDescent="0.35">
      <c r="A3" s="116"/>
      <c r="B3" s="119" t="s">
        <v>150</v>
      </c>
      <c r="C3" s="116"/>
      <c r="D3" s="116"/>
      <c r="E3" s="116"/>
      <c r="F3" s="118"/>
      <c r="G3" s="118"/>
      <c r="H3" s="118"/>
      <c r="I3" s="118"/>
      <c r="J3" s="118"/>
    </row>
    <row r="4" spans="1:24" ht="17.5" x14ac:dyDescent="0.35">
      <c r="A4" s="1"/>
      <c r="B4" s="7"/>
      <c r="C4" s="7"/>
      <c r="D4" s="7"/>
      <c r="E4" s="7"/>
      <c r="F4" s="7"/>
      <c r="G4" s="7"/>
      <c r="H4" s="7"/>
      <c r="I4" s="7"/>
      <c r="J4" s="7"/>
      <c r="K4" s="7"/>
      <c r="L4" s="8"/>
      <c r="M4" s="1"/>
      <c r="N4" s="1"/>
      <c r="O4" s="1"/>
      <c r="P4" s="3"/>
      <c r="Q4" s="1"/>
      <c r="R4" s="8"/>
      <c r="S4" s="8"/>
      <c r="T4" s="1"/>
      <c r="U4" s="1"/>
      <c r="V4" s="1"/>
      <c r="W4" s="1"/>
      <c r="X4" s="1"/>
    </row>
    <row r="5" spans="1:24" ht="17.5" x14ac:dyDescent="0.35">
      <c r="A5" s="1"/>
      <c r="B5" s="400" t="s">
        <v>151</v>
      </c>
      <c r="C5" s="400"/>
      <c r="D5" s="400"/>
      <c r="E5" s="400"/>
      <c r="F5" s="400"/>
      <c r="G5" s="400"/>
      <c r="H5" s="400"/>
      <c r="I5" s="400"/>
      <c r="J5" s="400"/>
      <c r="K5" s="400"/>
      <c r="L5" s="8"/>
      <c r="M5" s="1"/>
      <c r="N5" s="1"/>
      <c r="O5" s="1"/>
      <c r="P5" s="3"/>
      <c r="Q5" s="1"/>
      <c r="R5" s="8"/>
      <c r="S5" s="8"/>
      <c r="T5" s="1"/>
      <c r="U5" s="1"/>
      <c r="V5" s="1"/>
      <c r="W5" s="1"/>
      <c r="X5" s="1"/>
    </row>
    <row r="6" spans="1:24" ht="17.5" x14ac:dyDescent="0.35">
      <c r="A6" s="1"/>
      <c r="B6" s="400" t="s">
        <v>152</v>
      </c>
      <c r="C6" s="400"/>
      <c r="D6" s="400"/>
      <c r="E6" s="400"/>
      <c r="F6" s="400"/>
      <c r="G6" s="400"/>
      <c r="H6" s="400"/>
      <c r="I6" s="400"/>
      <c r="J6" s="400"/>
      <c r="K6" s="400"/>
      <c r="L6" s="8"/>
      <c r="M6" s="1"/>
      <c r="N6" s="1"/>
      <c r="O6" s="1"/>
      <c r="P6" s="3"/>
      <c r="Q6" s="1"/>
      <c r="R6" s="8"/>
      <c r="S6" s="8"/>
      <c r="T6" s="1"/>
      <c r="U6" s="1"/>
      <c r="V6" s="1"/>
      <c r="W6" s="1"/>
      <c r="X6" s="1"/>
    </row>
    <row r="7" spans="1:24" ht="17.5" x14ac:dyDescent="0.35">
      <c r="A7" s="1"/>
      <c r="B7" s="401" t="s">
        <v>153</v>
      </c>
      <c r="C7" s="401"/>
      <c r="D7" s="401"/>
      <c r="E7" s="401"/>
      <c r="F7" s="401"/>
      <c r="G7" s="401"/>
      <c r="H7" s="401"/>
      <c r="I7" s="401"/>
      <c r="J7" s="401"/>
      <c r="K7" s="401"/>
      <c r="L7" s="8"/>
      <c r="M7" s="1"/>
      <c r="N7" s="1"/>
      <c r="O7" s="1"/>
      <c r="P7" s="3"/>
      <c r="Q7" s="1"/>
      <c r="R7" s="8"/>
      <c r="S7" s="8"/>
      <c r="T7" s="1"/>
      <c r="U7" s="1"/>
      <c r="V7" s="1"/>
      <c r="W7" s="1"/>
      <c r="X7" s="1"/>
    </row>
    <row r="8" spans="1:24" ht="17.5" x14ac:dyDescent="0.35">
      <c r="A8" s="1"/>
      <c r="B8" s="401"/>
      <c r="C8" s="401"/>
      <c r="D8" s="401"/>
      <c r="E8" s="401"/>
      <c r="F8" s="401"/>
      <c r="G8" s="401"/>
      <c r="H8" s="401"/>
      <c r="I8" s="401"/>
      <c r="J8" s="401"/>
      <c r="K8" s="401"/>
      <c r="L8" s="8"/>
      <c r="M8" s="1"/>
      <c r="N8" s="1"/>
      <c r="O8" s="1"/>
      <c r="P8" s="3"/>
      <c r="Q8" s="1"/>
      <c r="R8" s="8"/>
      <c r="S8" s="8"/>
      <c r="T8" s="1"/>
      <c r="U8" s="1"/>
      <c r="V8" s="1"/>
      <c r="W8" s="1"/>
      <c r="X8" s="1"/>
    </row>
    <row r="9" spans="1:24" ht="17.5" x14ac:dyDescent="0.35">
      <c r="A9" s="116"/>
      <c r="B9" s="320" t="s">
        <v>154</v>
      </c>
      <c r="C9" s="116"/>
      <c r="D9" s="116"/>
      <c r="E9" s="116"/>
      <c r="F9" s="118"/>
      <c r="G9" s="118"/>
      <c r="H9" s="118"/>
      <c r="I9" s="118"/>
      <c r="J9" s="118"/>
    </row>
    <row r="10" spans="1:24" x14ac:dyDescent="0.35">
      <c r="A10" s="116"/>
      <c r="B10" s="116"/>
      <c r="C10" s="116"/>
      <c r="D10" s="116"/>
      <c r="E10" s="116"/>
      <c r="F10" s="118"/>
      <c r="G10" s="118"/>
      <c r="H10" s="118"/>
      <c r="I10" s="118"/>
      <c r="J10" s="118"/>
      <c r="K10" s="125" t="s">
        <v>155</v>
      </c>
    </row>
    <row r="11" spans="1:24" ht="15.5" x14ac:dyDescent="0.35">
      <c r="A11" s="116"/>
      <c r="B11" s="120" t="s">
        <v>156</v>
      </c>
      <c r="C11" s="121"/>
      <c r="D11" s="122"/>
      <c r="E11" s="123"/>
      <c r="F11" s="123"/>
      <c r="G11" s="121" t="s">
        <v>157</v>
      </c>
      <c r="H11" s="123"/>
      <c r="I11" s="123"/>
      <c r="J11" s="124"/>
    </row>
    <row r="12" spans="1:24" x14ac:dyDescent="0.35">
      <c r="A12" s="116"/>
      <c r="B12" s="126"/>
      <c r="C12" s="127"/>
      <c r="D12" s="128"/>
      <c r="E12" s="129"/>
      <c r="F12" s="128"/>
      <c r="G12" s="128"/>
      <c r="H12" s="128"/>
      <c r="I12" s="128"/>
      <c r="J12" s="130"/>
    </row>
    <row r="13" spans="1:24" x14ac:dyDescent="0.35">
      <c r="A13" s="116"/>
      <c r="B13" s="126"/>
      <c r="C13" s="131" t="s">
        <v>158</v>
      </c>
      <c r="D13" s="128"/>
      <c r="E13" s="129"/>
      <c r="F13" s="353">
        <v>2022</v>
      </c>
      <c r="G13" s="482" t="s">
        <v>159</v>
      </c>
      <c r="H13" s="483"/>
      <c r="I13" s="483"/>
      <c r="J13" s="484"/>
      <c r="K13" s="125" t="s">
        <v>160</v>
      </c>
    </row>
    <row r="14" spans="1:24" x14ac:dyDescent="0.35">
      <c r="A14" s="116"/>
      <c r="B14" s="126"/>
      <c r="C14" s="131" t="s">
        <v>161</v>
      </c>
      <c r="D14" s="128"/>
      <c r="E14" s="129"/>
      <c r="F14" s="353">
        <v>2025</v>
      </c>
      <c r="G14" s="482" t="s">
        <v>162</v>
      </c>
      <c r="H14" s="483"/>
      <c r="I14" s="483"/>
      <c r="J14" s="484"/>
      <c r="K14" s="125" t="s">
        <v>163</v>
      </c>
    </row>
    <row r="15" spans="1:24" x14ac:dyDescent="0.35">
      <c r="A15" s="116"/>
      <c r="B15" s="126"/>
      <c r="C15" s="131" t="s">
        <v>164</v>
      </c>
      <c r="D15" s="128"/>
      <c r="E15" s="129"/>
      <c r="F15" s="353">
        <v>3</v>
      </c>
      <c r="G15" s="482" t="s">
        <v>165</v>
      </c>
      <c r="H15" s="483"/>
      <c r="I15" s="483"/>
      <c r="J15" s="484"/>
      <c r="K15" s="125" t="s">
        <v>163</v>
      </c>
    </row>
    <row r="16" spans="1:24" x14ac:dyDescent="0.35">
      <c r="A16" s="116"/>
      <c r="B16" s="126"/>
      <c r="C16" s="131" t="s">
        <v>166</v>
      </c>
      <c r="D16" s="128"/>
      <c r="E16" s="129"/>
      <c r="F16" s="353">
        <f>F15+F14</f>
        <v>2028</v>
      </c>
      <c r="G16" s="482" t="s">
        <v>167</v>
      </c>
      <c r="H16" s="483"/>
      <c r="I16" s="483"/>
      <c r="J16" s="484"/>
      <c r="K16" s="125" t="s">
        <v>163</v>
      </c>
    </row>
    <row r="17" spans="1:12" ht="28.5" customHeight="1" x14ac:dyDescent="0.35">
      <c r="A17" s="116"/>
      <c r="B17" s="126"/>
      <c r="C17" s="459" t="s">
        <v>168</v>
      </c>
      <c r="D17" s="128"/>
      <c r="E17" s="129"/>
      <c r="F17" s="353">
        <v>10</v>
      </c>
      <c r="G17" s="488" t="s">
        <v>169</v>
      </c>
      <c r="H17" s="489"/>
      <c r="I17" s="489"/>
      <c r="J17" s="490"/>
      <c r="K17" s="125" t="s">
        <v>163</v>
      </c>
    </row>
    <row r="18" spans="1:12" x14ac:dyDescent="0.35">
      <c r="A18" s="116"/>
      <c r="B18" s="126"/>
      <c r="C18" s="131" t="s">
        <v>170</v>
      </c>
      <c r="D18" s="128"/>
      <c r="E18" s="129"/>
      <c r="F18" s="353">
        <f>F17+F16-1</f>
        <v>2037</v>
      </c>
      <c r="G18" s="482" t="s">
        <v>171</v>
      </c>
      <c r="H18" s="483"/>
      <c r="I18" s="483"/>
      <c r="J18" s="484"/>
      <c r="K18" s="125" t="s">
        <v>163</v>
      </c>
    </row>
    <row r="19" spans="1:12" x14ac:dyDescent="0.35">
      <c r="A19" s="116"/>
      <c r="B19" s="126"/>
      <c r="C19" s="131" t="s">
        <v>172</v>
      </c>
      <c r="D19" s="128"/>
      <c r="E19" s="129"/>
      <c r="F19" s="354">
        <v>0.02</v>
      </c>
      <c r="G19" s="485" t="s">
        <v>173</v>
      </c>
      <c r="H19" s="486"/>
      <c r="I19" s="486"/>
      <c r="J19" s="487"/>
      <c r="K19" s="125" t="s">
        <v>163</v>
      </c>
    </row>
    <row r="20" spans="1:12" x14ac:dyDescent="0.35">
      <c r="A20" s="116"/>
      <c r="B20" s="126"/>
      <c r="C20" s="131" t="s">
        <v>174</v>
      </c>
      <c r="D20" s="128"/>
      <c r="E20" s="129"/>
      <c r="F20" s="356">
        <v>3.1E-2</v>
      </c>
      <c r="G20" s="485"/>
      <c r="H20" s="486"/>
      <c r="I20" s="486"/>
      <c r="J20" s="487"/>
      <c r="K20" s="125" t="s">
        <v>175</v>
      </c>
    </row>
    <row r="21" spans="1:12" x14ac:dyDescent="0.35">
      <c r="A21" s="116"/>
      <c r="B21" s="126"/>
      <c r="C21" s="131" t="s">
        <v>176</v>
      </c>
      <c r="D21" s="128"/>
      <c r="E21" s="129"/>
      <c r="F21" s="356">
        <v>0.02</v>
      </c>
      <c r="G21" s="485"/>
      <c r="H21" s="486"/>
      <c r="I21" s="486"/>
      <c r="J21" s="487"/>
      <c r="K21" s="125" t="s">
        <v>177</v>
      </c>
    </row>
    <row r="22" spans="1:12" x14ac:dyDescent="0.35">
      <c r="A22" s="116"/>
      <c r="B22" s="135"/>
      <c r="C22" s="136"/>
      <c r="D22" s="137"/>
      <c r="E22" s="138"/>
      <c r="F22" s="138"/>
      <c r="G22" s="138"/>
      <c r="H22" s="138"/>
      <c r="I22" s="138"/>
      <c r="J22" s="139"/>
    </row>
    <row r="23" spans="1:12" x14ac:dyDescent="0.35">
      <c r="A23" s="116"/>
      <c r="B23" s="116"/>
      <c r="C23" s="116"/>
      <c r="D23" s="116"/>
      <c r="E23" s="116"/>
      <c r="F23" s="118"/>
      <c r="G23" s="118"/>
      <c r="H23" s="118"/>
      <c r="I23" s="118"/>
      <c r="J23" s="118"/>
    </row>
    <row r="24" spans="1:12" ht="15.5" x14ac:dyDescent="0.35">
      <c r="B24" s="120" t="s">
        <v>178</v>
      </c>
      <c r="C24" s="121"/>
      <c r="D24" s="122"/>
      <c r="E24" s="123"/>
      <c r="F24" s="123"/>
      <c r="G24" s="121" t="s">
        <v>157</v>
      </c>
      <c r="H24" s="123"/>
      <c r="I24" s="123"/>
      <c r="J24" s="124"/>
    </row>
    <row r="25" spans="1:12" x14ac:dyDescent="0.35">
      <c r="B25" s="126"/>
      <c r="C25" s="131" t="s">
        <v>179</v>
      </c>
      <c r="D25" s="128"/>
      <c r="E25" s="129"/>
      <c r="F25" s="398">
        <v>0</v>
      </c>
      <c r="G25" s="485" t="s">
        <v>180</v>
      </c>
      <c r="H25" s="486"/>
      <c r="I25" s="486"/>
      <c r="J25" s="487"/>
      <c r="K25" s="125" t="s">
        <v>181</v>
      </c>
      <c r="L25" s="144"/>
    </row>
    <row r="26" spans="1:12" x14ac:dyDescent="0.35">
      <c r="B26" s="126"/>
      <c r="C26" s="131" t="s">
        <v>182</v>
      </c>
      <c r="D26" s="128"/>
      <c r="E26" s="129"/>
      <c r="F26" s="353">
        <v>5</v>
      </c>
      <c r="G26" s="485" t="s">
        <v>180</v>
      </c>
      <c r="H26" s="486"/>
      <c r="I26" s="486"/>
      <c r="J26" s="487"/>
      <c r="K26" s="125" t="s">
        <v>183</v>
      </c>
    </row>
    <row r="27" spans="1:12" x14ac:dyDescent="0.35">
      <c r="B27" s="126"/>
      <c r="C27" s="131" t="s">
        <v>184</v>
      </c>
      <c r="D27" s="128"/>
      <c r="E27" s="129"/>
      <c r="F27" s="355">
        <v>1</v>
      </c>
      <c r="G27" s="485" t="s">
        <v>185</v>
      </c>
      <c r="H27" s="486"/>
      <c r="I27" s="486"/>
      <c r="J27" s="487"/>
      <c r="K27" s="125" t="s">
        <v>186</v>
      </c>
    </row>
    <row r="28" spans="1:12" ht="15" customHeight="1" x14ac:dyDescent="0.35">
      <c r="B28" s="126"/>
      <c r="C28" s="131" t="s">
        <v>187</v>
      </c>
      <c r="D28" s="128"/>
      <c r="E28" s="129"/>
      <c r="F28" s="355">
        <v>1.9279999999999999E-2</v>
      </c>
      <c r="G28" s="485" t="s">
        <v>185</v>
      </c>
      <c r="H28" s="486"/>
      <c r="I28" s="486"/>
      <c r="J28" s="487"/>
      <c r="K28" s="125" t="s">
        <v>188</v>
      </c>
    </row>
    <row r="29" spans="1:12" x14ac:dyDescent="0.35">
      <c r="B29" s="126"/>
      <c r="C29" s="131" t="s">
        <v>189</v>
      </c>
      <c r="D29" s="128"/>
      <c r="E29" s="129"/>
      <c r="F29" s="355">
        <f>ParkingDemandGrowthRate</f>
        <v>1.9279999999999999E-2</v>
      </c>
      <c r="G29" s="485" t="s">
        <v>185</v>
      </c>
      <c r="H29" s="486"/>
      <c r="I29" s="486"/>
      <c r="J29" s="487"/>
      <c r="K29" s="125" t="s">
        <v>190</v>
      </c>
    </row>
    <row r="30" spans="1:12" x14ac:dyDescent="0.35">
      <c r="B30" s="126"/>
      <c r="C30" s="131" t="s">
        <v>191</v>
      </c>
      <c r="D30" s="128"/>
      <c r="E30" s="129"/>
      <c r="F30" s="353">
        <v>1</v>
      </c>
      <c r="G30" s="485" t="s">
        <v>185</v>
      </c>
      <c r="H30" s="486"/>
      <c r="I30" s="486"/>
      <c r="J30" s="487"/>
      <c r="K30" s="125" t="s">
        <v>192</v>
      </c>
    </row>
    <row r="31" spans="1:12" x14ac:dyDescent="0.35">
      <c r="B31" s="126"/>
      <c r="C31" s="131" t="s">
        <v>193</v>
      </c>
      <c r="D31" s="128"/>
      <c r="E31" s="129"/>
      <c r="F31" s="353">
        <v>208</v>
      </c>
      <c r="G31" s="485" t="s">
        <v>185</v>
      </c>
      <c r="H31" s="486"/>
      <c r="I31" s="486"/>
      <c r="J31" s="487"/>
      <c r="K31" s="125" t="s">
        <v>194</v>
      </c>
    </row>
    <row r="32" spans="1:12" x14ac:dyDescent="0.35">
      <c r="B32" s="135"/>
      <c r="C32" s="136"/>
      <c r="D32" s="137"/>
      <c r="E32" s="138"/>
      <c r="F32" s="138"/>
      <c r="G32" s="138"/>
      <c r="H32" s="138"/>
      <c r="I32" s="138"/>
      <c r="J32" s="139"/>
    </row>
    <row r="34" spans="2:12" ht="15.5" x14ac:dyDescent="0.35">
      <c r="B34" s="120" t="s">
        <v>195</v>
      </c>
      <c r="C34" s="121"/>
      <c r="D34" s="122"/>
      <c r="E34" s="123"/>
      <c r="F34" s="123"/>
      <c r="G34" s="121" t="s">
        <v>157</v>
      </c>
      <c r="H34" s="123"/>
      <c r="I34" s="123"/>
      <c r="J34" s="124"/>
    </row>
    <row r="35" spans="2:12" x14ac:dyDescent="0.35">
      <c r="B35" s="126"/>
      <c r="C35" s="127"/>
      <c r="D35" s="128"/>
      <c r="E35" s="129"/>
      <c r="F35" s="131"/>
      <c r="G35" s="131"/>
      <c r="H35" s="131"/>
      <c r="I35" s="131"/>
      <c r="J35" s="130"/>
    </row>
    <row r="36" spans="2:12" ht="16.149999999999999" customHeight="1" x14ac:dyDescent="0.35">
      <c r="B36" s="126"/>
      <c r="C36" s="131" t="s">
        <v>196</v>
      </c>
      <c r="D36" s="128"/>
      <c r="E36" s="129"/>
      <c r="F36" s="132">
        <f>0.25</f>
        <v>0.25</v>
      </c>
      <c r="G36" s="131"/>
      <c r="H36" s="131"/>
      <c r="I36" s="131"/>
      <c r="J36" s="133"/>
      <c r="K36" s="125" t="s">
        <v>197</v>
      </c>
      <c r="L36" s="268"/>
    </row>
    <row r="37" spans="2:12" ht="16.149999999999999" customHeight="1" x14ac:dyDescent="0.35">
      <c r="B37" s="126"/>
      <c r="C37" s="131" t="s">
        <v>198</v>
      </c>
      <c r="D37" s="128"/>
      <c r="E37" s="129"/>
      <c r="F37" s="132">
        <v>40.24</v>
      </c>
      <c r="G37" s="131"/>
      <c r="H37" s="131"/>
      <c r="I37" s="131"/>
      <c r="J37" s="133"/>
      <c r="K37" s="125" t="s">
        <v>199</v>
      </c>
      <c r="L37" s="268"/>
    </row>
    <row r="38" spans="2:12" x14ac:dyDescent="0.35">
      <c r="B38" s="126"/>
      <c r="C38" s="131" t="s">
        <v>200</v>
      </c>
      <c r="D38" s="128"/>
      <c r="E38" s="129"/>
      <c r="F38" s="132">
        <f>F37*HourSavedPerSpace</f>
        <v>10.06</v>
      </c>
      <c r="G38" s="131"/>
      <c r="H38" s="131"/>
      <c r="I38" s="131"/>
      <c r="J38" s="134"/>
      <c r="K38" s="125" t="s">
        <v>201</v>
      </c>
    </row>
    <row r="39" spans="2:12" x14ac:dyDescent="0.35">
      <c r="B39" s="135"/>
      <c r="C39" s="136"/>
      <c r="D39" s="137"/>
      <c r="E39" s="138"/>
      <c r="F39" s="138"/>
      <c r="G39" s="138"/>
      <c r="H39" s="138"/>
      <c r="I39" s="138"/>
      <c r="J39" s="139"/>
    </row>
    <row r="41" spans="2:12" ht="15.5" x14ac:dyDescent="0.35">
      <c r="B41" s="120" t="s">
        <v>202</v>
      </c>
      <c r="C41" s="121"/>
      <c r="D41" s="122"/>
      <c r="E41" s="123"/>
      <c r="F41" s="123"/>
      <c r="G41" s="121" t="s">
        <v>157</v>
      </c>
      <c r="H41" s="123"/>
      <c r="I41" s="123"/>
      <c r="J41" s="124"/>
    </row>
    <row r="42" spans="2:12" x14ac:dyDescent="0.35">
      <c r="B42" s="126"/>
      <c r="C42" s="127"/>
      <c r="D42" s="128"/>
      <c r="E42" s="129"/>
      <c r="F42" s="131"/>
      <c r="G42" s="131"/>
      <c r="H42" s="131"/>
      <c r="I42" s="131"/>
      <c r="J42" s="130"/>
    </row>
    <row r="43" spans="2:12" x14ac:dyDescent="0.35">
      <c r="B43" s="126"/>
      <c r="C43" s="131" t="s">
        <v>203</v>
      </c>
      <c r="D43" s="128"/>
      <c r="E43" s="129"/>
      <c r="F43" s="132">
        <v>33.5</v>
      </c>
      <c r="G43" s="482" t="s">
        <v>159</v>
      </c>
      <c r="H43" s="483"/>
      <c r="I43" s="483"/>
      <c r="J43" s="484"/>
      <c r="K43" s="125" t="s">
        <v>204</v>
      </c>
    </row>
    <row r="44" spans="2:12" ht="15.75" customHeight="1" x14ac:dyDescent="0.35">
      <c r="B44" s="126"/>
      <c r="C44" s="131" t="s">
        <v>205</v>
      </c>
      <c r="D44" s="128"/>
      <c r="E44" s="129"/>
      <c r="F44" s="132">
        <v>19.600000000000001</v>
      </c>
      <c r="G44" s="482" t="s">
        <v>159</v>
      </c>
      <c r="H44" s="483"/>
      <c r="I44" s="483"/>
      <c r="J44" s="484"/>
      <c r="K44" s="125" t="s">
        <v>204</v>
      </c>
    </row>
    <row r="45" spans="2:12" ht="15" customHeight="1" x14ac:dyDescent="0.35">
      <c r="B45" s="126"/>
      <c r="C45" s="131" t="s">
        <v>206</v>
      </c>
      <c r="D45" s="128"/>
      <c r="E45" s="129"/>
      <c r="F45" s="231">
        <v>1.67</v>
      </c>
      <c r="G45" s="482" t="s">
        <v>159</v>
      </c>
      <c r="H45" s="483"/>
      <c r="I45" s="483"/>
      <c r="J45" s="484"/>
      <c r="K45" s="125" t="s">
        <v>207</v>
      </c>
    </row>
    <row r="46" spans="2:12" x14ac:dyDescent="0.35">
      <c r="B46" s="126"/>
      <c r="C46" s="131" t="s">
        <v>208</v>
      </c>
      <c r="D46" s="128"/>
      <c r="E46" s="129"/>
      <c r="F46" s="131"/>
      <c r="G46" s="131"/>
      <c r="H46" s="131"/>
      <c r="I46" s="131"/>
      <c r="J46" s="133"/>
    </row>
    <row r="47" spans="2:12" ht="15" customHeight="1" x14ac:dyDescent="0.35">
      <c r="B47" s="126"/>
      <c r="C47" s="165" t="s">
        <v>209</v>
      </c>
      <c r="D47" s="166"/>
      <c r="E47" s="166"/>
      <c r="F47" s="166" t="s">
        <v>210</v>
      </c>
      <c r="G47" s="166" t="s">
        <v>211</v>
      </c>
      <c r="H47" s="167" t="s">
        <v>212</v>
      </c>
      <c r="I47" s="131"/>
      <c r="J47" s="133"/>
      <c r="K47" s="125">
        <v>5</v>
      </c>
    </row>
    <row r="48" spans="2:12" ht="15" customHeight="1" x14ac:dyDescent="0.35">
      <c r="B48" s="126"/>
      <c r="C48" s="146" t="s">
        <v>213</v>
      </c>
      <c r="D48" s="129"/>
      <c r="E48" s="129"/>
      <c r="F48" s="132">
        <v>6729</v>
      </c>
      <c r="G48" s="132">
        <v>2522</v>
      </c>
      <c r="H48" s="232">
        <v>2144</v>
      </c>
      <c r="I48" s="131"/>
      <c r="J48" s="133"/>
    </row>
    <row r="49" spans="2:16" ht="15" customHeight="1" x14ac:dyDescent="0.35">
      <c r="B49" s="126"/>
      <c r="C49" s="146" t="s">
        <v>214</v>
      </c>
      <c r="D49" s="129"/>
      <c r="E49" s="129"/>
      <c r="F49" s="231">
        <v>483</v>
      </c>
      <c r="G49" s="231">
        <v>137</v>
      </c>
      <c r="H49" s="233">
        <v>109</v>
      </c>
      <c r="I49" s="131"/>
      <c r="J49" s="133"/>
    </row>
    <row r="50" spans="2:16" ht="15" customHeight="1" x14ac:dyDescent="0.35">
      <c r="B50" s="126"/>
      <c r="C50" s="146" t="s">
        <v>215</v>
      </c>
      <c r="D50" s="129"/>
      <c r="E50" s="129"/>
      <c r="F50" s="231">
        <v>464</v>
      </c>
      <c r="G50" s="231">
        <v>159</v>
      </c>
      <c r="H50" s="233">
        <v>134</v>
      </c>
      <c r="I50" s="131"/>
      <c r="J50" s="133"/>
    </row>
    <row r="51" spans="2:16" ht="16.149999999999999" customHeight="1" x14ac:dyDescent="0.35">
      <c r="B51" s="126"/>
      <c r="C51" s="148" t="s">
        <v>216</v>
      </c>
      <c r="D51" s="138"/>
      <c r="E51" s="138"/>
      <c r="F51" s="234">
        <v>99</v>
      </c>
      <c r="G51" s="234">
        <v>34</v>
      </c>
      <c r="H51" s="235">
        <v>28</v>
      </c>
      <c r="I51" s="131"/>
      <c r="J51" s="134"/>
      <c r="M51" s="3"/>
      <c r="N51" s="4"/>
      <c r="O51" s="4"/>
      <c r="P51" s="4"/>
    </row>
    <row r="52" spans="2:16" x14ac:dyDescent="0.35">
      <c r="B52" s="135"/>
      <c r="C52" s="136"/>
      <c r="D52" s="137"/>
      <c r="E52" s="138"/>
      <c r="F52" s="138"/>
      <c r="G52" s="138"/>
      <c r="H52" s="138"/>
      <c r="I52" s="138"/>
      <c r="J52" s="139"/>
    </row>
    <row r="54" spans="2:16" ht="15.5" x14ac:dyDescent="0.35">
      <c r="B54" s="120" t="s">
        <v>217</v>
      </c>
      <c r="C54" s="121"/>
      <c r="D54" s="122"/>
      <c r="E54" s="123"/>
      <c r="F54" s="123"/>
      <c r="G54" s="121" t="s">
        <v>157</v>
      </c>
      <c r="H54" s="123"/>
      <c r="I54" s="123"/>
      <c r="J54" s="124"/>
    </row>
    <row r="55" spans="2:16" x14ac:dyDescent="0.35">
      <c r="B55" s="126"/>
      <c r="C55" s="128" t="s">
        <v>218</v>
      </c>
      <c r="D55" s="128"/>
      <c r="E55" s="129"/>
      <c r="F55" s="399">
        <v>1.32</v>
      </c>
      <c r="G55" s="482" t="s">
        <v>159</v>
      </c>
      <c r="H55" s="483"/>
      <c r="I55" s="483"/>
      <c r="J55" s="484"/>
      <c r="K55" s="125" t="s">
        <v>207</v>
      </c>
    </row>
    <row r="56" spans="2:16" x14ac:dyDescent="0.35">
      <c r="B56" s="135"/>
      <c r="C56" s="136"/>
      <c r="D56" s="137"/>
      <c r="E56" s="138"/>
      <c r="F56" s="138"/>
      <c r="G56" s="138"/>
      <c r="H56" s="138"/>
      <c r="I56" s="138"/>
      <c r="J56" s="139"/>
    </row>
    <row r="58" spans="2:16" ht="15.5" x14ac:dyDescent="0.35">
      <c r="B58" s="120" t="s">
        <v>49</v>
      </c>
      <c r="C58" s="121"/>
      <c r="D58" s="122"/>
      <c r="E58" s="123"/>
      <c r="F58" s="123"/>
      <c r="G58" s="123"/>
      <c r="H58" s="123"/>
      <c r="I58" s="123"/>
      <c r="J58" s="124"/>
    </row>
    <row r="59" spans="2:16" s="186" customFormat="1" ht="61.9" customHeight="1" x14ac:dyDescent="0.35">
      <c r="B59" s="224"/>
      <c r="C59" s="229"/>
      <c r="D59" s="226"/>
      <c r="E59" s="227"/>
      <c r="F59" s="225" t="s">
        <v>219</v>
      </c>
      <c r="G59" s="225" t="s">
        <v>220</v>
      </c>
      <c r="H59" s="131"/>
      <c r="I59" s="131"/>
      <c r="J59" s="230"/>
      <c r="K59" s="228"/>
    </row>
    <row r="60" spans="2:16" ht="21.75" customHeight="1" x14ac:dyDescent="0.35">
      <c r="B60" s="126"/>
      <c r="C60" s="131" t="s">
        <v>221</v>
      </c>
      <c r="D60" s="128"/>
      <c r="E60" s="129"/>
      <c r="F60" s="357">
        <f>10%</f>
        <v>0.1</v>
      </c>
      <c r="G60" s="357">
        <v>0.08</v>
      </c>
      <c r="H60" s="491" t="s">
        <v>222</v>
      </c>
      <c r="I60" s="492"/>
      <c r="J60" s="493"/>
      <c r="L60" s="125" t="s">
        <v>223</v>
      </c>
    </row>
    <row r="61" spans="2:16" ht="23.25" customHeight="1" x14ac:dyDescent="0.35">
      <c r="B61" s="126"/>
      <c r="C61" s="131" t="s">
        <v>224</v>
      </c>
      <c r="D61" s="128"/>
      <c r="E61" s="129"/>
      <c r="F61" s="357">
        <f>10%</f>
        <v>0.1</v>
      </c>
      <c r="G61" s="357">
        <v>0.08</v>
      </c>
      <c r="H61" s="491"/>
      <c r="I61" s="492"/>
      <c r="J61" s="493"/>
      <c r="K61" s="125" t="s">
        <v>225</v>
      </c>
      <c r="L61" s="125" t="s">
        <v>223</v>
      </c>
    </row>
    <row r="62" spans="2:16" ht="15.5" x14ac:dyDescent="0.35">
      <c r="B62" s="126"/>
      <c r="C62" s="131" t="s">
        <v>226</v>
      </c>
      <c r="D62" s="128"/>
      <c r="E62" s="129"/>
      <c r="F62" s="131"/>
      <c r="G62" s="121" t="s">
        <v>157</v>
      </c>
      <c r="H62" s="131"/>
      <c r="I62" s="131"/>
      <c r="J62" s="133"/>
    </row>
    <row r="63" spans="2:16" x14ac:dyDescent="0.35">
      <c r="B63" s="126"/>
      <c r="C63" s="165" t="s">
        <v>227</v>
      </c>
      <c r="D63" s="166"/>
      <c r="E63" s="166"/>
      <c r="F63" s="167" t="s">
        <v>228</v>
      </c>
      <c r="G63" s="482" t="s">
        <v>229</v>
      </c>
      <c r="H63" s="483"/>
      <c r="I63" s="483"/>
      <c r="J63" s="484"/>
      <c r="K63" s="125" t="s">
        <v>230</v>
      </c>
    </row>
    <row r="64" spans="2:16" x14ac:dyDescent="0.35">
      <c r="B64" s="126"/>
      <c r="C64" s="146" t="s">
        <v>231</v>
      </c>
      <c r="D64" s="129"/>
      <c r="E64" s="129"/>
      <c r="F64" s="308">
        <v>12500000</v>
      </c>
      <c r="G64" s="131"/>
      <c r="H64" s="131"/>
      <c r="I64" s="131"/>
      <c r="J64" s="133"/>
    </row>
    <row r="65" spans="2:11" x14ac:dyDescent="0.35">
      <c r="B65" s="126"/>
      <c r="C65" s="146" t="s">
        <v>232</v>
      </c>
      <c r="D65" s="129"/>
      <c r="E65" s="129"/>
      <c r="F65" s="308">
        <v>1188200</v>
      </c>
      <c r="G65" s="131"/>
      <c r="H65" s="131"/>
      <c r="I65" s="131"/>
      <c r="J65" s="133"/>
    </row>
    <row r="66" spans="2:11" x14ac:dyDescent="0.35">
      <c r="B66" s="126"/>
      <c r="C66" s="146" t="s">
        <v>233</v>
      </c>
      <c r="D66" s="129"/>
      <c r="E66" s="129"/>
      <c r="F66" s="308">
        <v>233800</v>
      </c>
      <c r="G66" s="131"/>
      <c r="H66" s="131"/>
      <c r="I66" s="131"/>
      <c r="J66" s="133"/>
    </row>
    <row r="67" spans="2:11" x14ac:dyDescent="0.35">
      <c r="B67" s="126"/>
      <c r="C67" s="146" t="s">
        <v>234</v>
      </c>
      <c r="D67" s="129"/>
      <c r="E67" s="129"/>
      <c r="F67" s="308">
        <v>111700</v>
      </c>
      <c r="G67" s="131"/>
      <c r="H67" s="131"/>
      <c r="I67" s="131"/>
      <c r="J67" s="133"/>
    </row>
    <row r="68" spans="2:11" x14ac:dyDescent="0.35">
      <c r="B68" s="126"/>
      <c r="C68" s="146" t="s">
        <v>235</v>
      </c>
      <c r="D68" s="129"/>
      <c r="E68" s="129"/>
      <c r="F68" s="308">
        <v>5000</v>
      </c>
      <c r="G68" s="131"/>
      <c r="H68" s="131"/>
      <c r="I68" s="131"/>
      <c r="J68" s="133"/>
    </row>
    <row r="69" spans="2:11" x14ac:dyDescent="0.35">
      <c r="B69" s="126"/>
      <c r="C69" s="148" t="s">
        <v>236</v>
      </c>
      <c r="D69" s="138"/>
      <c r="E69" s="138"/>
      <c r="F69" s="460">
        <v>217600</v>
      </c>
      <c r="G69" s="131"/>
      <c r="H69" s="131"/>
      <c r="I69" s="131"/>
      <c r="J69" s="133"/>
    </row>
    <row r="70" spans="2:11" x14ac:dyDescent="0.35">
      <c r="B70" s="135"/>
      <c r="C70" s="136"/>
      <c r="D70" s="137"/>
      <c r="E70" s="138"/>
      <c r="F70" s="138"/>
      <c r="G70" s="138"/>
      <c r="H70" s="138"/>
      <c r="I70" s="138"/>
      <c r="J70" s="139"/>
    </row>
    <row r="72" spans="2:11" x14ac:dyDescent="0.35">
      <c r="B72" s="143"/>
    </row>
    <row r="73" spans="2:11" ht="15.5" x14ac:dyDescent="0.35">
      <c r="B73" s="120" t="s">
        <v>237</v>
      </c>
      <c r="C73" s="121"/>
      <c r="D73" s="122"/>
      <c r="E73" s="123"/>
      <c r="F73" s="123"/>
      <c r="G73" s="123"/>
      <c r="H73" s="123"/>
      <c r="I73" s="123"/>
      <c r="J73" s="124"/>
    </row>
    <row r="74" spans="2:11" ht="15.5" x14ac:dyDescent="0.35">
      <c r="B74" s="192"/>
      <c r="C74" s="131" t="s">
        <v>238</v>
      </c>
      <c r="D74" s="128"/>
      <c r="E74" s="129"/>
      <c r="F74" s="129">
        <v>1.1014999999999999</v>
      </c>
      <c r="G74" s="129"/>
      <c r="H74" s="129"/>
      <c r="I74" s="129"/>
      <c r="J74" s="130"/>
    </row>
    <row r="75" spans="2:11" ht="15.5" x14ac:dyDescent="0.35">
      <c r="B75" s="192"/>
      <c r="C75" s="131" t="s">
        <v>239</v>
      </c>
      <c r="D75" s="128"/>
      <c r="E75" s="129"/>
      <c r="F75" s="129">
        <f>1/907185</f>
        <v>1.1023109950010196E-6</v>
      </c>
      <c r="G75" s="129"/>
      <c r="H75" s="129"/>
      <c r="I75" s="129"/>
      <c r="J75" s="130"/>
    </row>
    <row r="76" spans="2:11" ht="20.5" customHeight="1" x14ac:dyDescent="0.35">
      <c r="B76" s="126"/>
      <c r="C76" s="131" t="s">
        <v>240</v>
      </c>
      <c r="D76" s="128"/>
      <c r="E76" s="129"/>
      <c r="F76" s="129"/>
      <c r="G76" s="129"/>
      <c r="H76" s="129"/>
      <c r="I76" s="129"/>
      <c r="J76" s="133"/>
      <c r="K76" s="125" t="s">
        <v>241</v>
      </c>
    </row>
    <row r="77" spans="2:11" x14ac:dyDescent="0.35">
      <c r="B77" s="126"/>
      <c r="C77" s="165" t="s">
        <v>209</v>
      </c>
      <c r="D77" s="166"/>
      <c r="E77" s="123"/>
      <c r="F77" s="166" t="s">
        <v>242</v>
      </c>
      <c r="G77" s="166" t="s">
        <v>243</v>
      </c>
      <c r="H77" s="166" t="s">
        <v>244</v>
      </c>
      <c r="I77" s="167" t="s">
        <v>245</v>
      </c>
      <c r="J77" s="152"/>
    </row>
    <row r="78" spans="2:11" ht="20.5" customHeight="1" x14ac:dyDescent="0.35">
      <c r="B78" s="126"/>
      <c r="C78" s="146" t="s">
        <v>213</v>
      </c>
      <c r="D78" s="129"/>
      <c r="E78" s="129"/>
      <c r="F78" s="247">
        <v>1.9570000000000001E-2</v>
      </c>
      <c r="G78" s="248">
        <v>1.9000000000000001E-4</v>
      </c>
      <c r="H78" s="247">
        <v>1.6000000000000001E-3</v>
      </c>
      <c r="I78" s="248">
        <v>10.773910000000001</v>
      </c>
      <c r="J78" s="133"/>
    </row>
    <row r="79" spans="2:11" ht="20.5" customHeight="1" x14ac:dyDescent="0.35">
      <c r="B79" s="126"/>
      <c r="C79" s="146" t="s">
        <v>214</v>
      </c>
      <c r="D79" s="129"/>
      <c r="E79" s="129"/>
      <c r="F79" s="249">
        <v>3.5999999999999999E-3</v>
      </c>
      <c r="G79" s="250">
        <v>3.0000000000000001E-5</v>
      </c>
      <c r="H79" s="249">
        <v>1.6000000000000001E-4</v>
      </c>
      <c r="I79" s="250">
        <v>2.0156999999999998</v>
      </c>
      <c r="J79" s="133"/>
    </row>
    <row r="80" spans="2:11" ht="20.5" customHeight="1" x14ac:dyDescent="0.35">
      <c r="B80" s="126"/>
      <c r="C80" s="146" t="s">
        <v>215</v>
      </c>
      <c r="D80" s="129"/>
      <c r="E80" s="129"/>
      <c r="F80" s="249">
        <v>6.2500000000000003E-3</v>
      </c>
      <c r="G80" s="250">
        <v>2.0000000000000002E-5</v>
      </c>
      <c r="H80" s="249">
        <v>3.3E-4</v>
      </c>
      <c r="I80" s="250">
        <v>1.6349400000000001</v>
      </c>
      <c r="J80" s="133"/>
    </row>
    <row r="81" spans="1:11" x14ac:dyDescent="0.35">
      <c r="B81" s="126"/>
      <c r="C81" s="148" t="s">
        <v>216</v>
      </c>
      <c r="D81" s="138"/>
      <c r="E81" s="138"/>
      <c r="F81" s="251">
        <v>2.0400000000000001E-3</v>
      </c>
      <c r="G81" s="252">
        <v>1.0000000000000001E-5</v>
      </c>
      <c r="H81" s="251">
        <v>1.0000000000000001E-5</v>
      </c>
      <c r="I81" s="252">
        <v>0.63541999999999998</v>
      </c>
      <c r="J81" s="152"/>
    </row>
    <row r="82" spans="1:11" x14ac:dyDescent="0.35">
      <c r="B82" s="126"/>
      <c r="C82" s="129"/>
      <c r="D82" s="129"/>
      <c r="E82" s="129"/>
      <c r="F82" s="116"/>
      <c r="G82" s="116"/>
      <c r="H82" s="116"/>
      <c r="I82" s="116"/>
      <c r="J82" s="152"/>
    </row>
    <row r="83" spans="1:11" x14ac:dyDescent="0.35">
      <c r="B83" s="126"/>
      <c r="C83" s="165" t="s">
        <v>246</v>
      </c>
      <c r="D83" s="166"/>
      <c r="E83" s="166"/>
      <c r="F83" s="166" t="s">
        <v>242</v>
      </c>
      <c r="G83" s="166" t="s">
        <v>247</v>
      </c>
      <c r="H83" s="166" t="s">
        <v>244</v>
      </c>
      <c r="I83" s="167" t="s">
        <v>245</v>
      </c>
      <c r="J83" s="152"/>
      <c r="K83" s="125" t="s">
        <v>248</v>
      </c>
    </row>
    <row r="84" spans="1:11" x14ac:dyDescent="0.35">
      <c r="B84" s="126"/>
      <c r="C84" s="146">
        <v>2024</v>
      </c>
      <c r="D84" s="129"/>
      <c r="E84" s="129"/>
      <c r="F84" s="210">
        <f>'App_5_Emission Factors '!F10</f>
        <v>1.1135999999999999</v>
      </c>
      <c r="G84" s="210">
        <f>'App_5_Emission Factors '!H10</f>
        <v>9.1999999999999998E-3</v>
      </c>
      <c r="H84" s="210">
        <f>'App_5_Emission Factors '!J10</f>
        <v>1.04E-2</v>
      </c>
      <c r="I84" s="211">
        <f>'App_5_Emission Factors '!E10</f>
        <v>989.05510000000004</v>
      </c>
      <c r="J84" s="152"/>
      <c r="K84" s="144"/>
    </row>
    <row r="85" spans="1:11" x14ac:dyDescent="0.35">
      <c r="B85" s="126"/>
      <c r="C85" s="146">
        <v>2025</v>
      </c>
      <c r="D85" s="129"/>
      <c r="E85" s="129"/>
      <c r="F85" s="210">
        <f>'App_5_Emission Factors '!F11</f>
        <v>1.0758500000000026</v>
      </c>
      <c r="G85" s="210">
        <f>'App_5_Emission Factors '!H11</f>
        <v>9.0199999999999725E-3</v>
      </c>
      <c r="H85" s="210">
        <f>'App_5_Emission Factors '!J11</f>
        <v>1.0074999999999945E-2</v>
      </c>
      <c r="I85" s="211">
        <f>'App_5_Emission Factors '!E11</f>
        <v>969.93273999999656</v>
      </c>
      <c r="J85" s="152"/>
    </row>
    <row r="86" spans="1:11" x14ac:dyDescent="0.35">
      <c r="B86" s="126"/>
      <c r="C86" s="146">
        <v>2026</v>
      </c>
      <c r="D86" s="129"/>
      <c r="E86" s="129"/>
      <c r="F86" s="210">
        <f>'App_5_Emission Factors '!F12</f>
        <v>1.0381</v>
      </c>
      <c r="G86" s="210">
        <f>'App_5_Emission Factors '!H12</f>
        <v>8.8400000000000145E-3</v>
      </c>
      <c r="H86" s="210">
        <f>'App_5_Emission Factors '!J12</f>
        <v>9.7499999999999254E-3</v>
      </c>
      <c r="I86" s="211">
        <f>'App_5_Emission Factors '!E12</f>
        <v>950.81037999999535</v>
      </c>
      <c r="J86" s="152"/>
    </row>
    <row r="87" spans="1:11" x14ac:dyDescent="0.35">
      <c r="A87" t="s">
        <v>249</v>
      </c>
      <c r="B87" s="126"/>
      <c r="C87" s="146">
        <v>2027</v>
      </c>
      <c r="D87" s="129"/>
      <c r="E87" s="129"/>
      <c r="F87" s="210">
        <f>'App_5_Emission Factors '!F13</f>
        <v>1.0003499999999974</v>
      </c>
      <c r="G87" s="210">
        <f>'App_5_Emission Factors '!H13</f>
        <v>8.660000000000001E-3</v>
      </c>
      <c r="H87" s="210">
        <f>'App_5_Emission Factors '!J13</f>
        <v>9.4249999999999057E-3</v>
      </c>
      <c r="I87" s="211">
        <f>'App_5_Emission Factors '!E13</f>
        <v>931.68802000000142</v>
      </c>
      <c r="J87" s="152"/>
    </row>
    <row r="88" spans="1:11" x14ac:dyDescent="0.35">
      <c r="A88">
        <v>1</v>
      </c>
      <c r="B88" s="126"/>
      <c r="C88" s="146">
        <v>2028</v>
      </c>
      <c r="D88" s="129"/>
      <c r="E88" s="129"/>
      <c r="F88" s="210">
        <f>'App_5_Emission Factors '!F14</f>
        <v>0.96259999999999479</v>
      </c>
      <c r="G88" s="210">
        <f>'App_5_Emission Factors '!H14</f>
        <v>8.4799999999999875E-3</v>
      </c>
      <c r="H88" s="210">
        <f>'App_5_Emission Factors '!J14</f>
        <v>9.099999999999886E-3</v>
      </c>
      <c r="I88" s="211">
        <f>'App_5_Emission Factors '!E14</f>
        <v>912.56566000000021</v>
      </c>
      <c r="J88" s="152"/>
    </row>
    <row r="89" spans="1:11" x14ac:dyDescent="0.35">
      <c r="A89">
        <v>2</v>
      </c>
      <c r="B89" s="126"/>
      <c r="C89" s="146">
        <v>2029</v>
      </c>
      <c r="D89" s="129"/>
      <c r="E89" s="129"/>
      <c r="F89" s="210">
        <f>'App_5_Emission Factors '!F15</f>
        <v>0.92484999999999218</v>
      </c>
      <c r="G89" s="210">
        <f>'App_5_Emission Factors '!H15</f>
        <v>8.2999999999999741E-3</v>
      </c>
      <c r="H89" s="210">
        <f>'App_5_Emission Factors '!J15</f>
        <v>8.7749999999999773E-3</v>
      </c>
      <c r="I89" s="211">
        <f>'App_5_Emission Factors '!E15</f>
        <v>893.443299999999</v>
      </c>
      <c r="J89" s="152"/>
    </row>
    <row r="90" spans="1:11" x14ac:dyDescent="0.35">
      <c r="A90">
        <v>3</v>
      </c>
      <c r="B90" s="126"/>
      <c r="C90" s="146">
        <v>2030</v>
      </c>
      <c r="D90" s="129"/>
      <c r="E90" s="129"/>
      <c r="F90" s="210">
        <f>'App_5_Emission Factors '!F16</f>
        <v>0.88710000000000377</v>
      </c>
      <c r="G90" s="210">
        <f>'App_5_Emission Factors '!H16</f>
        <v>8.1200000000000161E-3</v>
      </c>
      <c r="H90" s="210">
        <f>'App_5_Emission Factors '!J16</f>
        <v>8.4499999999999575E-3</v>
      </c>
      <c r="I90" s="211">
        <f>'App_5_Emission Factors '!E16</f>
        <v>874.32093999999779</v>
      </c>
      <c r="J90" s="152"/>
    </row>
    <row r="91" spans="1:11" x14ac:dyDescent="0.35">
      <c r="A91">
        <v>4</v>
      </c>
      <c r="B91" s="126"/>
      <c r="C91" s="146">
        <v>2031</v>
      </c>
      <c r="D91" s="129"/>
      <c r="E91" s="129"/>
      <c r="F91" s="210">
        <f>'App_5_Emission Factors '!F17</f>
        <v>0.84935000000000116</v>
      </c>
      <c r="G91" s="210">
        <f>'App_5_Emission Factors '!H17</f>
        <v>7.9400000000000026E-3</v>
      </c>
      <c r="H91" s="210">
        <f>'App_5_Emission Factors '!J17</f>
        <v>8.1249999999999378E-3</v>
      </c>
      <c r="I91" s="211">
        <f>'App_5_Emission Factors '!E17</f>
        <v>855.19857999999658</v>
      </c>
      <c r="J91" s="152"/>
    </row>
    <row r="92" spans="1:11" x14ac:dyDescent="0.35">
      <c r="A92">
        <v>5</v>
      </c>
      <c r="B92" s="126"/>
      <c r="C92" s="146">
        <v>2032</v>
      </c>
      <c r="D92" s="129"/>
      <c r="E92" s="129"/>
      <c r="F92" s="210">
        <f>'App_5_Emission Factors '!F18</f>
        <v>0.81159999999999854</v>
      </c>
      <c r="G92" s="210">
        <f>'App_5_Emission Factors '!H18</f>
        <v>7.7599999999999891E-3</v>
      </c>
      <c r="H92" s="210">
        <f>'App_5_Emission Factors '!J18</f>
        <v>7.7999999999999181E-3</v>
      </c>
      <c r="I92" s="211">
        <f>'App_5_Emission Factors '!E18</f>
        <v>836.07621999999537</v>
      </c>
      <c r="J92" s="152"/>
    </row>
    <row r="93" spans="1:11" x14ac:dyDescent="0.35">
      <c r="A93">
        <v>6</v>
      </c>
      <c r="B93" s="126"/>
      <c r="C93" s="146">
        <v>2033</v>
      </c>
      <c r="D93" s="129"/>
      <c r="E93" s="129"/>
      <c r="F93" s="210">
        <f>'App_5_Emission Factors '!F19</f>
        <v>0.77384999999999593</v>
      </c>
      <c r="G93" s="210">
        <f>'App_5_Emission Factors '!H19</f>
        <v>7.5799999999999756E-3</v>
      </c>
      <c r="H93" s="210">
        <f>'App_5_Emission Factors '!J19</f>
        <v>7.4749999999998984E-3</v>
      </c>
      <c r="I93" s="211">
        <f>'App_5_Emission Factors '!E19</f>
        <v>816.95386000000144</v>
      </c>
      <c r="J93" s="152"/>
    </row>
    <row r="94" spans="1:11" x14ac:dyDescent="0.35">
      <c r="A94">
        <v>7</v>
      </c>
      <c r="B94" s="126"/>
      <c r="C94" s="146">
        <v>2034</v>
      </c>
      <c r="D94" s="129"/>
      <c r="E94" s="129"/>
      <c r="F94" s="210">
        <f>'App_5_Emission Factors '!F20</f>
        <v>0.73609999999999332</v>
      </c>
      <c r="G94" s="210">
        <f>'App_5_Emission Factors '!H20</f>
        <v>7.4000000000000177E-3</v>
      </c>
      <c r="H94" s="210">
        <f>'App_5_Emission Factors '!J20</f>
        <v>7.1499999999999897E-3</v>
      </c>
      <c r="I94" s="211">
        <f>'App_5_Emission Factors '!E20</f>
        <v>797.83150000000023</v>
      </c>
      <c r="J94" s="152"/>
    </row>
    <row r="95" spans="1:11" x14ac:dyDescent="0.35">
      <c r="A95">
        <v>8</v>
      </c>
      <c r="B95" s="126"/>
      <c r="C95" s="146">
        <v>2035</v>
      </c>
      <c r="D95" s="129"/>
      <c r="E95" s="129"/>
      <c r="F95" s="210">
        <f>'App_5_Emission Factors '!F21</f>
        <v>0.69835000000000491</v>
      </c>
      <c r="G95" s="210">
        <f>'App_5_Emission Factors '!H21</f>
        <v>7.2200000000000042E-3</v>
      </c>
      <c r="H95" s="210">
        <f>'App_5_Emission Factors '!J21</f>
        <v>6.82499999999997E-3</v>
      </c>
      <c r="I95" s="211">
        <f>'App_5_Emission Factors '!E21</f>
        <v>778.70913999999902</v>
      </c>
      <c r="J95" s="152"/>
    </row>
    <row r="96" spans="1:11" x14ac:dyDescent="0.35">
      <c r="A96">
        <v>9</v>
      </c>
      <c r="B96" s="126"/>
      <c r="C96" s="146">
        <v>2036</v>
      </c>
      <c r="D96" s="129"/>
      <c r="E96" s="129"/>
      <c r="F96" s="210">
        <f>'App_5_Emission Factors '!F22</f>
        <v>0.6606000000000023</v>
      </c>
      <c r="G96" s="210">
        <f>'App_5_Emission Factors '!H22</f>
        <v>7.0399999999999907E-3</v>
      </c>
      <c r="H96" s="210">
        <f>'App_5_Emission Factors '!J22</f>
        <v>6.4999999999999503E-3</v>
      </c>
      <c r="I96" s="211">
        <f>'App_5_Emission Factors '!E22</f>
        <v>759.58677999999782</v>
      </c>
      <c r="J96" s="152"/>
    </row>
    <row r="97" spans="1:11" x14ac:dyDescent="0.35">
      <c r="A97">
        <v>10</v>
      </c>
      <c r="B97" s="126"/>
      <c r="C97" s="146">
        <v>2037</v>
      </c>
      <c r="D97" s="129"/>
      <c r="E97" s="129"/>
      <c r="F97" s="210">
        <f>'App_5_Emission Factors '!F23</f>
        <v>0.62284999999999968</v>
      </c>
      <c r="G97" s="210">
        <f>'App_5_Emission Factors '!H23</f>
        <v>6.8599999999999772E-3</v>
      </c>
      <c r="H97" s="210">
        <f>'App_5_Emission Factors '!J23</f>
        <v>6.1749999999999305E-3</v>
      </c>
      <c r="I97" s="211">
        <f>'App_5_Emission Factors '!E23</f>
        <v>740.46441999999661</v>
      </c>
      <c r="J97" s="152"/>
    </row>
    <row r="98" spans="1:11" x14ac:dyDescent="0.35">
      <c r="B98" s="126"/>
      <c r="C98" s="146">
        <v>2038</v>
      </c>
      <c r="D98" s="129"/>
      <c r="E98" s="129"/>
      <c r="F98" s="210">
        <f>'App_5_Emission Factors '!F24</f>
        <v>0.58509999999999707</v>
      </c>
      <c r="G98" s="210">
        <f>'App_5_Emission Factors '!H24</f>
        <v>6.6800000000000193E-3</v>
      </c>
      <c r="H98" s="210">
        <f>'App_5_Emission Factors '!J24</f>
        <v>5.8499999999999108E-3</v>
      </c>
      <c r="I98" s="211">
        <f>'App_5_Emission Factors '!E24</f>
        <v>721.3420599999954</v>
      </c>
      <c r="J98" s="152"/>
    </row>
    <row r="99" spans="1:11" x14ac:dyDescent="0.35">
      <c r="B99" s="126"/>
      <c r="C99" s="146">
        <v>2039</v>
      </c>
      <c r="D99" s="129"/>
      <c r="E99" s="129"/>
      <c r="F99" s="210">
        <f>'App_5_Emission Factors '!F25</f>
        <v>0.54734999999999445</v>
      </c>
      <c r="G99" s="210">
        <f>'App_5_Emission Factors '!H25</f>
        <v>6.5000000000000058E-3</v>
      </c>
      <c r="H99" s="210">
        <f>'App_5_Emission Factors '!J25</f>
        <v>5.5249999999998911E-3</v>
      </c>
      <c r="I99" s="211">
        <f>'App_5_Emission Factors '!E25</f>
        <v>702.21970000000147</v>
      </c>
      <c r="J99" s="152"/>
    </row>
    <row r="100" spans="1:11" x14ac:dyDescent="0.35">
      <c r="B100" s="126"/>
      <c r="C100" s="146">
        <v>2040</v>
      </c>
      <c r="D100" s="129"/>
      <c r="E100" s="129"/>
      <c r="F100" s="210">
        <f>'App_5_Emission Factors '!F26</f>
        <v>0.50960000000000605</v>
      </c>
      <c r="G100" s="210">
        <f>'App_5_Emission Factors '!H26</f>
        <v>6.3199999999999923E-3</v>
      </c>
      <c r="H100" s="210">
        <f>'App_5_Emission Factors '!J26</f>
        <v>5.1999999999999824E-3</v>
      </c>
      <c r="I100" s="211">
        <f>'App_5_Emission Factors '!E26</f>
        <v>683.09734000000026</v>
      </c>
      <c r="J100" s="152"/>
    </row>
    <row r="101" spans="1:11" x14ac:dyDescent="0.35">
      <c r="B101" s="126"/>
      <c r="C101" s="146">
        <v>2041</v>
      </c>
      <c r="D101" s="129"/>
      <c r="E101" s="129"/>
      <c r="F101" s="210">
        <f>'App_5_Emission Factors '!F27</f>
        <v>0.47185000000000343</v>
      </c>
      <c r="G101" s="210">
        <f>'App_5_Emission Factors '!H27</f>
        <v>6.1399999999999788E-3</v>
      </c>
      <c r="H101" s="210">
        <f>'App_5_Emission Factors '!J27</f>
        <v>4.8749999999999627E-3</v>
      </c>
      <c r="I101" s="211">
        <f>'App_5_Emission Factors '!E27</f>
        <v>663.97497999999905</v>
      </c>
      <c r="J101" s="152"/>
    </row>
    <row r="102" spans="1:11" x14ac:dyDescent="0.35">
      <c r="B102" s="126"/>
      <c r="C102" s="146">
        <v>2042</v>
      </c>
      <c r="D102" s="129"/>
      <c r="E102" s="129"/>
      <c r="F102" s="210">
        <f>'App_5_Emission Factors '!F28</f>
        <v>0.43410000000000082</v>
      </c>
      <c r="G102" s="210">
        <f>'App_5_Emission Factors '!H28</f>
        <v>5.9600000000000208E-3</v>
      </c>
      <c r="H102" s="210">
        <f>'App_5_Emission Factors '!J28</f>
        <v>4.549999999999943E-3</v>
      </c>
      <c r="I102" s="211">
        <f>'App_5_Emission Factors '!E28</f>
        <v>644.85261999999784</v>
      </c>
      <c r="J102" s="152"/>
    </row>
    <row r="103" spans="1:11" x14ac:dyDescent="0.35">
      <c r="B103" s="126"/>
      <c r="C103" s="146">
        <v>2043</v>
      </c>
      <c r="D103" s="129"/>
      <c r="E103" s="129"/>
      <c r="F103" s="210">
        <f>'App_5_Emission Factors '!F29</f>
        <v>0.3963499999999982</v>
      </c>
      <c r="G103" s="210">
        <f>'App_5_Emission Factors '!H29</f>
        <v>5.7800000000000074E-3</v>
      </c>
      <c r="H103" s="210">
        <f>'App_5_Emission Factors '!J29</f>
        <v>4.2249999999999233E-3</v>
      </c>
      <c r="I103" s="211">
        <f>'App_5_Emission Factors '!E29</f>
        <v>625.73025999999663</v>
      </c>
      <c r="J103" s="152"/>
    </row>
    <row r="104" spans="1:11" x14ac:dyDescent="0.35">
      <c r="B104" s="126"/>
      <c r="C104" s="148">
        <v>2044</v>
      </c>
      <c r="D104" s="138"/>
      <c r="E104" s="138"/>
      <c r="F104" s="210">
        <f>'App_5_Emission Factors '!F30</f>
        <v>0.35859999999999997</v>
      </c>
      <c r="G104" s="210">
        <f>'App_5_Emission Factors '!H30</f>
        <v>5.5999999999999999E-3</v>
      </c>
      <c r="H104" s="210">
        <f>'App_5_Emission Factors '!J30</f>
        <v>3.8999999999999998E-3</v>
      </c>
      <c r="I104" s="211">
        <f>'App_5_Emission Factors '!E30</f>
        <v>606.60789999999997</v>
      </c>
      <c r="J104" s="152"/>
    </row>
    <row r="105" spans="1:11" x14ac:dyDescent="0.35">
      <c r="B105" s="126"/>
      <c r="C105" s="129"/>
      <c r="D105" s="129"/>
      <c r="E105" s="129"/>
      <c r="F105" s="129"/>
      <c r="G105" s="129"/>
      <c r="H105" s="129"/>
      <c r="I105" s="129"/>
      <c r="J105" s="152"/>
    </row>
    <row r="106" spans="1:11" x14ac:dyDescent="0.35">
      <c r="B106" s="126"/>
      <c r="C106" s="131" t="s">
        <v>250</v>
      </c>
      <c r="D106" s="128"/>
      <c r="E106" s="129"/>
      <c r="F106" s="482" t="s">
        <v>229</v>
      </c>
      <c r="G106" s="483"/>
      <c r="H106" s="483"/>
      <c r="I106" s="484"/>
      <c r="J106" s="152"/>
      <c r="K106" s="125" t="s">
        <v>251</v>
      </c>
    </row>
    <row r="107" spans="1:11" x14ac:dyDescent="0.35">
      <c r="B107" s="146"/>
      <c r="C107" s="165" t="s">
        <v>252</v>
      </c>
      <c r="D107" s="166"/>
      <c r="E107" s="166"/>
      <c r="F107" s="166" t="s">
        <v>242</v>
      </c>
      <c r="G107" s="166" t="s">
        <v>247</v>
      </c>
      <c r="H107" s="166" t="s">
        <v>244</v>
      </c>
      <c r="I107" s="167" t="s">
        <v>245</v>
      </c>
      <c r="J107" s="152"/>
    </row>
    <row r="108" spans="1:11" x14ac:dyDescent="0.35">
      <c r="B108" s="146"/>
      <c r="C108" s="146">
        <v>2023</v>
      </c>
      <c r="D108" s="129"/>
      <c r="E108" s="129"/>
      <c r="F108" s="145">
        <v>19800</v>
      </c>
      <c r="G108" s="145">
        <v>52900</v>
      </c>
      <c r="H108" s="145">
        <v>951000</v>
      </c>
      <c r="I108" s="147">
        <v>228</v>
      </c>
      <c r="J108" s="152"/>
    </row>
    <row r="109" spans="1:11" x14ac:dyDescent="0.35">
      <c r="B109" s="146"/>
      <c r="C109" s="146">
        <v>2024</v>
      </c>
      <c r="D109" s="129"/>
      <c r="E109" s="129"/>
      <c r="F109" s="145">
        <v>20100</v>
      </c>
      <c r="G109" s="145">
        <v>53800</v>
      </c>
      <c r="H109" s="145">
        <v>963200</v>
      </c>
      <c r="I109" s="147">
        <v>233</v>
      </c>
      <c r="J109" s="152"/>
    </row>
    <row r="110" spans="1:11" x14ac:dyDescent="0.35">
      <c r="B110" s="146"/>
      <c r="C110" s="146">
        <v>2025</v>
      </c>
      <c r="D110" s="129"/>
      <c r="E110" s="129"/>
      <c r="F110" s="145">
        <v>20300</v>
      </c>
      <c r="G110" s="145">
        <v>54800</v>
      </c>
      <c r="H110" s="145">
        <v>975500</v>
      </c>
      <c r="I110" s="147">
        <v>237</v>
      </c>
      <c r="J110" s="152"/>
    </row>
    <row r="111" spans="1:11" x14ac:dyDescent="0.35">
      <c r="B111" s="146"/>
      <c r="C111" s="146">
        <v>2026</v>
      </c>
      <c r="D111" s="129"/>
      <c r="E111" s="129"/>
      <c r="F111" s="145">
        <v>20600</v>
      </c>
      <c r="G111" s="145">
        <v>56100</v>
      </c>
      <c r="H111" s="145">
        <v>993500</v>
      </c>
      <c r="I111" s="147">
        <v>241</v>
      </c>
      <c r="J111" s="152"/>
    </row>
    <row r="112" spans="1:11" x14ac:dyDescent="0.35">
      <c r="A112" t="s">
        <v>249</v>
      </c>
      <c r="B112" s="146"/>
      <c r="C112" s="146">
        <v>2027</v>
      </c>
      <c r="D112" s="129"/>
      <c r="E112" s="129"/>
      <c r="F112" s="145">
        <v>21000</v>
      </c>
      <c r="G112" s="145">
        <v>57400</v>
      </c>
      <c r="H112" s="145">
        <v>1011900</v>
      </c>
      <c r="I112" s="147">
        <v>245</v>
      </c>
      <c r="J112" s="152"/>
    </row>
    <row r="113" spans="1:10" x14ac:dyDescent="0.35">
      <c r="A113">
        <v>1</v>
      </c>
      <c r="B113" s="146"/>
      <c r="C113" s="146">
        <v>2028</v>
      </c>
      <c r="D113" s="129"/>
      <c r="E113" s="129"/>
      <c r="F113" s="145">
        <v>21300</v>
      </c>
      <c r="G113" s="145">
        <v>58700</v>
      </c>
      <c r="H113" s="145">
        <v>1030600</v>
      </c>
      <c r="I113" s="147">
        <v>250</v>
      </c>
      <c r="J113" s="152"/>
    </row>
    <row r="114" spans="1:10" x14ac:dyDescent="0.35">
      <c r="A114">
        <v>2</v>
      </c>
      <c r="B114" s="146"/>
      <c r="C114" s="146">
        <v>2029</v>
      </c>
      <c r="D114" s="129"/>
      <c r="E114" s="129"/>
      <c r="F114" s="145">
        <v>21700</v>
      </c>
      <c r="G114" s="145">
        <v>60100</v>
      </c>
      <c r="H114" s="145">
        <v>1049600</v>
      </c>
      <c r="I114" s="147">
        <v>253</v>
      </c>
      <c r="J114" s="152"/>
    </row>
    <row r="115" spans="1:10" x14ac:dyDescent="0.35">
      <c r="A115">
        <v>3</v>
      </c>
      <c r="B115" s="146"/>
      <c r="C115" s="146">
        <v>2030</v>
      </c>
      <c r="D115" s="129"/>
      <c r="E115" s="129"/>
      <c r="F115" s="145">
        <v>22000</v>
      </c>
      <c r="G115" s="145">
        <v>61500</v>
      </c>
      <c r="H115" s="145">
        <v>1069000</v>
      </c>
      <c r="I115" s="147">
        <v>257</v>
      </c>
      <c r="J115" s="152"/>
    </row>
    <row r="116" spans="1:10" x14ac:dyDescent="0.35">
      <c r="A116">
        <v>4</v>
      </c>
      <c r="B116" s="146"/>
      <c r="C116" s="146">
        <v>2031</v>
      </c>
      <c r="D116" s="129"/>
      <c r="E116" s="129"/>
      <c r="F116" s="145">
        <v>22000</v>
      </c>
      <c r="G116" s="145">
        <v>61500</v>
      </c>
      <c r="H116" s="145">
        <v>1069000</v>
      </c>
      <c r="I116" s="147">
        <v>262</v>
      </c>
      <c r="J116" s="152"/>
    </row>
    <row r="117" spans="1:10" x14ac:dyDescent="0.35">
      <c r="A117">
        <v>5</v>
      </c>
      <c r="B117" s="146"/>
      <c r="C117" s="146">
        <v>2032</v>
      </c>
      <c r="D117" s="129"/>
      <c r="E117" s="129"/>
      <c r="F117" s="145">
        <v>22000</v>
      </c>
      <c r="G117" s="145">
        <v>61500</v>
      </c>
      <c r="H117" s="145">
        <v>1069000</v>
      </c>
      <c r="I117" s="147">
        <v>265</v>
      </c>
      <c r="J117" s="152"/>
    </row>
    <row r="118" spans="1:10" x14ac:dyDescent="0.35">
      <c r="A118">
        <v>6</v>
      </c>
      <c r="B118" s="146"/>
      <c r="C118" s="146">
        <v>2033</v>
      </c>
      <c r="D118" s="129"/>
      <c r="E118" s="129"/>
      <c r="F118" s="145">
        <v>22000</v>
      </c>
      <c r="G118" s="145">
        <v>61500</v>
      </c>
      <c r="H118" s="145">
        <v>1069000</v>
      </c>
      <c r="I118" s="147">
        <v>270</v>
      </c>
      <c r="J118" s="152"/>
    </row>
    <row r="119" spans="1:10" x14ac:dyDescent="0.35">
      <c r="A119">
        <v>7</v>
      </c>
      <c r="B119" s="146"/>
      <c r="C119" s="146">
        <v>2034</v>
      </c>
      <c r="D119" s="129"/>
      <c r="E119" s="129"/>
      <c r="F119" s="145">
        <v>22000</v>
      </c>
      <c r="G119" s="145">
        <v>61500</v>
      </c>
      <c r="H119" s="145">
        <v>1069000</v>
      </c>
      <c r="I119" s="147">
        <v>274</v>
      </c>
      <c r="J119" s="152"/>
    </row>
    <row r="120" spans="1:10" x14ac:dyDescent="0.35">
      <c r="A120">
        <v>8</v>
      </c>
      <c r="B120" s="146"/>
      <c r="C120" s="146">
        <v>2035</v>
      </c>
      <c r="D120" s="129"/>
      <c r="E120" s="129"/>
      <c r="F120" s="145">
        <v>22000</v>
      </c>
      <c r="G120" s="145">
        <v>61500</v>
      </c>
      <c r="H120" s="145">
        <v>1069000</v>
      </c>
      <c r="I120" s="147">
        <v>278</v>
      </c>
      <c r="J120" s="152"/>
    </row>
    <row r="121" spans="1:10" x14ac:dyDescent="0.35">
      <c r="A121">
        <v>9</v>
      </c>
      <c r="B121" s="146"/>
      <c r="C121" s="146">
        <v>2036</v>
      </c>
      <c r="D121" s="129"/>
      <c r="E121" s="129"/>
      <c r="F121" s="145">
        <v>22000</v>
      </c>
      <c r="G121" s="145">
        <v>61500</v>
      </c>
      <c r="H121" s="145">
        <v>1069000</v>
      </c>
      <c r="I121" s="147">
        <v>282</v>
      </c>
      <c r="J121" s="152"/>
    </row>
    <row r="122" spans="1:10" x14ac:dyDescent="0.35">
      <c r="A122">
        <v>10</v>
      </c>
      <c r="B122" s="146"/>
      <c r="C122" s="146">
        <v>2037</v>
      </c>
      <c r="D122" s="129"/>
      <c r="E122" s="129"/>
      <c r="F122" s="145">
        <v>22000</v>
      </c>
      <c r="G122" s="145">
        <v>61500</v>
      </c>
      <c r="H122" s="145">
        <v>1069000</v>
      </c>
      <c r="I122" s="147">
        <v>287</v>
      </c>
      <c r="J122" s="152"/>
    </row>
    <row r="123" spans="1:10" x14ac:dyDescent="0.35">
      <c r="B123" s="146"/>
      <c r="C123" s="146">
        <v>2038</v>
      </c>
      <c r="D123" s="129"/>
      <c r="E123" s="129"/>
      <c r="F123" s="145">
        <v>22000</v>
      </c>
      <c r="G123" s="145">
        <v>61500</v>
      </c>
      <c r="H123" s="145">
        <v>1069000</v>
      </c>
      <c r="I123" s="147">
        <v>290</v>
      </c>
      <c r="J123" s="152"/>
    </row>
    <row r="124" spans="1:10" x14ac:dyDescent="0.35">
      <c r="B124" s="146"/>
      <c r="C124" s="146">
        <v>2039</v>
      </c>
      <c r="D124" s="129"/>
      <c r="E124" s="129"/>
      <c r="F124" s="145">
        <v>22000</v>
      </c>
      <c r="G124" s="145">
        <v>61500</v>
      </c>
      <c r="H124" s="145">
        <v>1069000</v>
      </c>
      <c r="I124" s="147">
        <v>294</v>
      </c>
      <c r="J124" s="152"/>
    </row>
    <row r="125" spans="1:10" x14ac:dyDescent="0.35">
      <c r="B125" s="146"/>
      <c r="C125" s="146">
        <v>2040</v>
      </c>
      <c r="D125" s="129"/>
      <c r="E125" s="129"/>
      <c r="F125" s="145">
        <v>22000</v>
      </c>
      <c r="G125" s="145">
        <v>61500</v>
      </c>
      <c r="H125" s="145">
        <v>1069000</v>
      </c>
      <c r="I125" s="147">
        <v>299</v>
      </c>
      <c r="J125" s="152"/>
    </row>
    <row r="126" spans="1:10" x14ac:dyDescent="0.35">
      <c r="B126" s="146"/>
      <c r="C126" s="146">
        <v>2041</v>
      </c>
      <c r="D126" s="129"/>
      <c r="E126" s="129"/>
      <c r="F126" s="145">
        <v>22000</v>
      </c>
      <c r="G126" s="145">
        <v>61500</v>
      </c>
      <c r="H126" s="145">
        <v>1069000</v>
      </c>
      <c r="I126" s="147">
        <v>303</v>
      </c>
      <c r="J126" s="152"/>
    </row>
    <row r="127" spans="1:10" x14ac:dyDescent="0.35">
      <c r="B127" s="146"/>
      <c r="C127" s="146">
        <v>2042</v>
      </c>
      <c r="D127" s="129"/>
      <c r="E127" s="129"/>
      <c r="F127" s="145">
        <v>22000</v>
      </c>
      <c r="G127" s="145">
        <v>61500</v>
      </c>
      <c r="H127" s="145">
        <v>1069000</v>
      </c>
      <c r="I127" s="147">
        <v>308</v>
      </c>
      <c r="J127" s="152"/>
    </row>
    <row r="128" spans="1:10" x14ac:dyDescent="0.35">
      <c r="B128" s="146"/>
      <c r="C128" s="146">
        <v>2043</v>
      </c>
      <c r="D128" s="129"/>
      <c r="E128" s="129"/>
      <c r="F128" s="145">
        <v>22000</v>
      </c>
      <c r="G128" s="145">
        <v>61500</v>
      </c>
      <c r="H128" s="145">
        <v>1069000</v>
      </c>
      <c r="I128" s="147">
        <v>312</v>
      </c>
      <c r="J128" s="152"/>
    </row>
    <row r="129" spans="2:11" x14ac:dyDescent="0.35">
      <c r="B129" s="146"/>
      <c r="C129" s="146">
        <v>2044</v>
      </c>
      <c r="D129" s="129"/>
      <c r="E129" s="129"/>
      <c r="F129" s="145">
        <v>22000</v>
      </c>
      <c r="G129" s="145">
        <v>61500</v>
      </c>
      <c r="H129" s="145">
        <v>1069000</v>
      </c>
      <c r="I129" s="147">
        <v>317</v>
      </c>
      <c r="J129" s="152"/>
    </row>
    <row r="130" spans="2:11" x14ac:dyDescent="0.35">
      <c r="B130" s="146"/>
      <c r="C130" s="146">
        <v>2045</v>
      </c>
      <c r="D130" s="129"/>
      <c r="E130" s="129"/>
      <c r="F130" s="145">
        <v>22000</v>
      </c>
      <c r="G130" s="145">
        <v>61500</v>
      </c>
      <c r="H130" s="145">
        <v>1069000</v>
      </c>
      <c r="I130" s="147">
        <v>321</v>
      </c>
      <c r="J130" s="152"/>
    </row>
    <row r="131" spans="2:11" x14ac:dyDescent="0.35">
      <c r="B131" s="146"/>
      <c r="C131" s="146">
        <v>2046</v>
      </c>
      <c r="D131" s="129"/>
      <c r="E131" s="129"/>
      <c r="F131" s="145">
        <v>22000</v>
      </c>
      <c r="G131" s="145">
        <v>61500</v>
      </c>
      <c r="H131" s="145">
        <v>1069000</v>
      </c>
      <c r="I131" s="147">
        <v>326</v>
      </c>
      <c r="J131" s="152"/>
    </row>
    <row r="132" spans="2:11" x14ac:dyDescent="0.35">
      <c r="B132" s="146"/>
      <c r="C132" s="146">
        <v>2047</v>
      </c>
      <c r="D132" s="129"/>
      <c r="E132" s="129"/>
      <c r="F132" s="145">
        <v>22000</v>
      </c>
      <c r="G132" s="145">
        <v>61500</v>
      </c>
      <c r="H132" s="145">
        <v>1069000</v>
      </c>
      <c r="I132" s="147">
        <v>331</v>
      </c>
      <c r="J132" s="152"/>
    </row>
    <row r="133" spans="2:11" x14ac:dyDescent="0.35">
      <c r="B133" s="146"/>
      <c r="C133" s="146">
        <v>2048</v>
      </c>
      <c r="D133" s="129"/>
      <c r="E133" s="129"/>
      <c r="F133" s="145">
        <v>22000</v>
      </c>
      <c r="G133" s="145">
        <v>61500</v>
      </c>
      <c r="H133" s="145">
        <v>1069000</v>
      </c>
      <c r="I133" s="147">
        <v>336</v>
      </c>
      <c r="J133" s="152"/>
    </row>
    <row r="134" spans="2:11" x14ac:dyDescent="0.35">
      <c r="B134" s="146"/>
      <c r="C134" s="146">
        <v>2049</v>
      </c>
      <c r="D134" s="129"/>
      <c r="E134" s="129"/>
      <c r="F134" s="145">
        <v>22000</v>
      </c>
      <c r="G134" s="145">
        <v>61500</v>
      </c>
      <c r="H134" s="145">
        <v>1069000</v>
      </c>
      <c r="I134" s="147">
        <v>340</v>
      </c>
      <c r="J134" s="152"/>
    </row>
    <row r="135" spans="2:11" x14ac:dyDescent="0.35">
      <c r="B135" s="146"/>
      <c r="C135" s="148">
        <v>2050</v>
      </c>
      <c r="D135" s="138"/>
      <c r="E135" s="138"/>
      <c r="F135" s="145">
        <v>22000</v>
      </c>
      <c r="G135" s="145">
        <v>61500</v>
      </c>
      <c r="H135" s="145">
        <v>1069000</v>
      </c>
      <c r="I135" s="149">
        <v>345</v>
      </c>
      <c r="J135" s="152"/>
    </row>
    <row r="136" spans="2:11" x14ac:dyDescent="0.35">
      <c r="B136" s="148"/>
      <c r="C136" s="138"/>
      <c r="D136" s="138"/>
      <c r="E136" s="138"/>
      <c r="F136" s="138"/>
      <c r="G136" s="138"/>
      <c r="H136" s="138"/>
      <c r="I136" s="138"/>
      <c r="J136" s="153"/>
    </row>
    <row r="137" spans="2:11" ht="22.9" customHeight="1" x14ac:dyDescent="0.35"/>
    <row r="138" spans="2:11" ht="15.5" x14ac:dyDescent="0.35">
      <c r="B138" s="120" t="s">
        <v>253</v>
      </c>
      <c r="C138" s="121"/>
      <c r="D138" s="122"/>
      <c r="E138" s="123"/>
      <c r="F138" s="123"/>
      <c r="G138" s="123"/>
      <c r="H138" s="123"/>
      <c r="I138" s="123"/>
      <c r="J138" s="124"/>
    </row>
    <row r="139" spans="2:11" x14ac:dyDescent="0.35">
      <c r="B139" s="126"/>
      <c r="C139" s="131" t="s">
        <v>254</v>
      </c>
      <c r="D139" s="128"/>
      <c r="E139" s="129"/>
      <c r="F139" s="116">
        <v>9.5999999999999992E-3</v>
      </c>
      <c r="G139" s="131"/>
      <c r="H139" s="131"/>
      <c r="I139" s="131"/>
      <c r="J139" s="134"/>
      <c r="K139" s="125" t="s">
        <v>255</v>
      </c>
    </row>
    <row r="140" spans="2:11" x14ac:dyDescent="0.35">
      <c r="B140" s="126"/>
      <c r="C140" s="131" t="s">
        <v>256</v>
      </c>
      <c r="D140" s="128"/>
      <c r="E140" s="129"/>
      <c r="F140" s="331">
        <v>1.22</v>
      </c>
      <c r="G140" s="131"/>
      <c r="H140" s="131"/>
      <c r="I140" s="131"/>
      <c r="J140" s="134"/>
      <c r="K140" s="125" t="s">
        <v>257</v>
      </c>
    </row>
    <row r="141" spans="2:11" x14ac:dyDescent="0.35">
      <c r="B141" s="135"/>
      <c r="C141" s="136"/>
      <c r="D141" s="137"/>
      <c r="E141" s="138"/>
      <c r="F141" s="138"/>
      <c r="G141" s="138"/>
      <c r="H141" s="138"/>
      <c r="I141" s="138"/>
      <c r="J141" s="139"/>
    </row>
    <row r="143" spans="2:11" x14ac:dyDescent="0.35">
      <c r="B143" s="309" t="s">
        <v>258</v>
      </c>
      <c r="C143" s="281"/>
      <c r="D143" s="281"/>
      <c r="E143" s="281"/>
      <c r="F143" s="281"/>
      <c r="G143" s="281"/>
      <c r="H143" s="281"/>
      <c r="I143" s="281"/>
    </row>
    <row r="144" spans="2:11" x14ac:dyDescent="0.35">
      <c r="B144" s="281">
        <v>1</v>
      </c>
      <c r="C144" s="144" t="s">
        <v>259</v>
      </c>
      <c r="D144" s="281"/>
      <c r="E144" s="281"/>
      <c r="F144" s="281"/>
      <c r="G144" s="281"/>
      <c r="H144" s="281"/>
      <c r="I144" s="281"/>
    </row>
    <row r="145" spans="1:9" x14ac:dyDescent="0.35">
      <c r="B145" s="281">
        <v>2</v>
      </c>
      <c r="C145" s="280" t="s">
        <v>260</v>
      </c>
      <c r="D145" s="281"/>
      <c r="E145" s="281"/>
      <c r="F145" s="281"/>
      <c r="G145" s="281"/>
      <c r="H145" s="281"/>
      <c r="I145" s="281"/>
    </row>
    <row r="146" spans="1:9" x14ac:dyDescent="0.35">
      <c r="B146" s="281">
        <v>3</v>
      </c>
      <c r="C146" s="280" t="s">
        <v>261</v>
      </c>
      <c r="D146" s="281"/>
      <c r="E146" s="281"/>
      <c r="F146" s="281"/>
      <c r="G146" s="281"/>
      <c r="H146" s="281"/>
      <c r="I146" s="281"/>
    </row>
    <row r="147" spans="1:9" x14ac:dyDescent="0.35">
      <c r="B147" s="281">
        <v>4</v>
      </c>
      <c r="C147" s="280" t="s">
        <v>262</v>
      </c>
      <c r="D147" s="281"/>
      <c r="E147" s="281"/>
      <c r="F147" s="281"/>
      <c r="G147" s="281"/>
      <c r="H147" s="281"/>
      <c r="I147" s="281"/>
    </row>
    <row r="148" spans="1:9" x14ac:dyDescent="0.35">
      <c r="B148" s="281">
        <v>5</v>
      </c>
      <c r="C148" s="280" t="s">
        <v>263</v>
      </c>
      <c r="D148" s="281"/>
      <c r="E148" s="281"/>
      <c r="F148" s="281"/>
      <c r="G148" s="281"/>
      <c r="H148" s="281"/>
      <c r="I148" s="281"/>
    </row>
    <row r="149" spans="1:9" x14ac:dyDescent="0.35">
      <c r="B149" s="281">
        <v>6</v>
      </c>
      <c r="C149" s="280" t="s">
        <v>264</v>
      </c>
      <c r="D149" s="281"/>
      <c r="E149" s="281"/>
      <c r="F149" s="281"/>
      <c r="G149" s="281"/>
      <c r="H149" s="281"/>
      <c r="I149" s="281"/>
    </row>
    <row r="150" spans="1:9" x14ac:dyDescent="0.35">
      <c r="A150" s="281"/>
      <c r="B150" s="281">
        <v>7</v>
      </c>
      <c r="C150" s="280" t="s">
        <v>265</v>
      </c>
      <c r="D150" s="281"/>
      <c r="E150" s="281"/>
      <c r="F150" s="281"/>
      <c r="G150" s="281"/>
      <c r="H150" s="281"/>
      <c r="I150" s="281"/>
    </row>
    <row r="151" spans="1:9" x14ac:dyDescent="0.35">
      <c r="B151" s="281">
        <v>8</v>
      </c>
      <c r="C151" s="280" t="s">
        <v>266</v>
      </c>
    </row>
    <row r="152" spans="1:9" x14ac:dyDescent="0.35">
      <c r="B152" s="281"/>
      <c r="C152" s="281"/>
      <c r="D152" s="281"/>
      <c r="E152" s="281"/>
      <c r="F152" s="281"/>
      <c r="G152" s="281"/>
      <c r="H152" s="281"/>
      <c r="I152" s="281"/>
    </row>
    <row r="153" spans="1:9" x14ac:dyDescent="0.35">
      <c r="B153" s="281"/>
      <c r="C153" s="281"/>
      <c r="D153" s="281"/>
    </row>
  </sheetData>
  <mergeCells count="23">
    <mergeCell ref="G63:J63"/>
    <mergeCell ref="G28:J28"/>
    <mergeCell ref="G43:J43"/>
    <mergeCell ref="G44:J44"/>
    <mergeCell ref="G45:J45"/>
    <mergeCell ref="G55:J55"/>
    <mergeCell ref="H60:J61"/>
    <mergeCell ref="F106:I106"/>
    <mergeCell ref="G27:J27"/>
    <mergeCell ref="G13:J13"/>
    <mergeCell ref="G14:J14"/>
    <mergeCell ref="G15:J15"/>
    <mergeCell ref="G16:J16"/>
    <mergeCell ref="G17:J17"/>
    <mergeCell ref="G18:J18"/>
    <mergeCell ref="G19:J19"/>
    <mergeCell ref="G20:J20"/>
    <mergeCell ref="G21:J21"/>
    <mergeCell ref="G25:J25"/>
    <mergeCell ref="G26:J26"/>
    <mergeCell ref="G29:J29"/>
    <mergeCell ref="G30:J30"/>
    <mergeCell ref="G31:J31"/>
  </mergeCells>
  <phoneticPr fontId="42" type="noConversion"/>
  <hyperlinks>
    <hyperlink ref="C144" r:id="rId1" xr:uid="{DCCAACB1-72C9-4FAA-B692-35E1DFECB00C}"/>
    <hyperlink ref="C151" r:id="rId2" xr:uid="{9C8D9EDE-B8B6-46D9-A36D-82C9AF39B0F6}"/>
    <hyperlink ref="C149" r:id="rId3" location=":~:text=10%20percent%20annual%20reduction,in%20number%20of%20driver-fatigue-related%20crashes" display="https://www.itskrs.its.dot.gov/its/benecost.nsf/ID/c69b25afd84ebf018525837c005f476b - :~:text=10%20percent%20annual%20reduction,in%20number%20of%20driver-fatigue-related%20crashes" xr:uid="{24DB58F2-1E30-4C9D-B869-AB0684A57EF2}"/>
    <hyperlink ref="C150" r:id="rId4" display="https://www.itskrs.its.dot.gov/its/benecost.nsf/ID/3eef659b36d4d7bc85258239007328c4?OpenDocument&amp;Query=Home" xr:uid="{4AD72645-A397-48FD-9C14-C3604F72EC14}"/>
    <hyperlink ref="C148" r:id="rId5" xr:uid="{2EFFB620-10B9-4711-8211-52BD4077627F}"/>
    <hyperlink ref="C146" r:id="rId6" display="https://truckingresearch.org/wp-content/uploads/2016/12/ATRI-Truck-Parking-Case-Study-Insights-12-2016.pdf" xr:uid="{25FBE444-DEBC-413B-A4AA-2F9785F029B6}"/>
    <hyperlink ref="C147" r:id="rId7" display="An Analysis of the Operational Costs of Trucking: 2022 Update( average speed: 40.24)" xr:uid="{787F0781-0F55-43BB-8DA4-3E3D236FF6AC}"/>
    <hyperlink ref="C145" r:id="rId8" display="FHWA TOPS-BC tool" xr:uid="{C2671122-C0C8-49D3-B76D-223A8875B732}"/>
  </hyperlinks>
  <pageMargins left="0.7" right="0.7" top="0.75" bottom="0.75" header="0.3" footer="0.3"/>
  <pageSetup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8EA97-A93D-43AB-B495-FFB128D26CB5}">
  <sheetPr>
    <tabColor rgb="FF0070C0"/>
  </sheetPr>
  <dimension ref="A1:X52"/>
  <sheetViews>
    <sheetView showGridLines="0" zoomScale="145" zoomScaleNormal="145" workbookViewId="0">
      <selection activeCell="G34" sqref="G34"/>
    </sheetView>
  </sheetViews>
  <sheetFormatPr defaultRowHeight="14.5" x14ac:dyDescent="0.35"/>
  <cols>
    <col min="1" max="1" width="52.7265625" customWidth="1"/>
    <col min="2" max="2" width="22" customWidth="1"/>
    <col min="3" max="3" width="14.7265625" customWidth="1"/>
    <col min="4" max="4" width="15.453125" customWidth="1"/>
    <col min="5" max="5" width="15" customWidth="1"/>
    <col min="6" max="6" width="15.453125" customWidth="1"/>
    <col min="7" max="7" width="16.26953125" customWidth="1"/>
    <col min="8" max="8" width="14.7265625" customWidth="1"/>
    <col min="9" max="9" width="14.54296875" customWidth="1"/>
  </cols>
  <sheetData>
    <row r="1" spans="1:24" s="1" customFormat="1" ht="20" x14ac:dyDescent="0.4">
      <c r="A1" s="2" t="s">
        <v>267</v>
      </c>
      <c r="C1" s="3"/>
      <c r="D1" s="5"/>
      <c r="E1" s="6"/>
      <c r="F1" s="6"/>
      <c r="H1" s="6"/>
      <c r="I1" s="6"/>
      <c r="J1" s="6"/>
      <c r="L1" s="2"/>
      <c r="M1" s="3"/>
      <c r="N1" s="4"/>
    </row>
    <row r="2" spans="1:24" s="1" customFormat="1" ht="12.5" x14ac:dyDescent="0.25">
      <c r="A2" s="3"/>
      <c r="C2" s="3"/>
      <c r="D2" s="4"/>
      <c r="E2" s="6"/>
      <c r="F2" s="6"/>
      <c r="H2" s="6"/>
      <c r="I2" s="6"/>
      <c r="J2" s="6"/>
      <c r="L2" s="3"/>
      <c r="M2" s="3"/>
      <c r="N2" s="4"/>
    </row>
    <row r="3" spans="1:24" s="1" customFormat="1" ht="17.5" x14ac:dyDescent="0.25">
      <c r="A3" s="7" t="s">
        <v>268</v>
      </c>
      <c r="D3" s="8"/>
      <c r="E3" s="9"/>
      <c r="F3" s="8"/>
      <c r="G3" s="9"/>
      <c r="H3" s="9"/>
      <c r="I3" s="8"/>
      <c r="J3" s="8"/>
      <c r="L3" s="7"/>
      <c r="N3" s="8"/>
    </row>
    <row r="4" spans="1:24" ht="17.5" x14ac:dyDescent="0.35">
      <c r="A4" s="400" t="s">
        <v>269</v>
      </c>
      <c r="B4" s="400"/>
      <c r="C4" s="400"/>
      <c r="D4" s="400"/>
      <c r="E4" s="400"/>
      <c r="F4" s="400"/>
      <c r="G4" s="400"/>
      <c r="H4" s="400"/>
      <c r="I4" s="400"/>
      <c r="J4" s="400"/>
      <c r="K4" s="400"/>
      <c r="L4" s="8"/>
      <c r="M4" s="1"/>
      <c r="N4" s="1"/>
      <c r="O4" s="1"/>
      <c r="P4" s="3"/>
      <c r="Q4" s="1"/>
      <c r="R4" s="8"/>
      <c r="S4" s="8"/>
      <c r="T4" s="1"/>
      <c r="U4" s="1"/>
      <c r="V4" s="1"/>
      <c r="W4" s="1"/>
      <c r="X4" s="1"/>
    </row>
    <row r="6" spans="1:24" x14ac:dyDescent="0.35">
      <c r="A6" s="351" t="s">
        <v>270</v>
      </c>
    </row>
    <row r="7" spans="1:24" x14ac:dyDescent="0.35">
      <c r="A7" s="311" t="s">
        <v>271</v>
      </c>
      <c r="B7" s="352" t="s">
        <v>272</v>
      </c>
    </row>
    <row r="8" spans="1:24" x14ac:dyDescent="0.35">
      <c r="A8" s="311" t="s">
        <v>273</v>
      </c>
      <c r="B8" s="352" t="s">
        <v>274</v>
      </c>
    </row>
    <row r="9" spans="1:24" x14ac:dyDescent="0.35">
      <c r="A9" s="311" t="s">
        <v>275</v>
      </c>
      <c r="B9" s="352" t="s">
        <v>276</v>
      </c>
    </row>
    <row r="10" spans="1:24" x14ac:dyDescent="0.35">
      <c r="A10" s="311" t="s">
        <v>277</v>
      </c>
      <c r="B10" s="352">
        <v>4</v>
      </c>
    </row>
    <row r="12" spans="1:24" ht="28.5" customHeight="1" x14ac:dyDescent="0.35">
      <c r="A12" s="494" t="s">
        <v>278</v>
      </c>
      <c r="B12" s="495" t="s">
        <v>279</v>
      </c>
      <c r="C12" s="495"/>
      <c r="D12" s="495"/>
      <c r="E12" s="495"/>
      <c r="F12" s="496" t="s">
        <v>220</v>
      </c>
      <c r="G12" s="496"/>
      <c r="H12" s="496"/>
      <c r="I12" s="496"/>
    </row>
    <row r="13" spans="1:24" x14ac:dyDescent="0.35">
      <c r="A13" s="494"/>
      <c r="B13" s="495" t="s">
        <v>280</v>
      </c>
      <c r="C13" s="495"/>
      <c r="D13" s="495" t="s">
        <v>281</v>
      </c>
      <c r="E13" s="495"/>
      <c r="F13" s="495" t="s">
        <v>280</v>
      </c>
      <c r="G13" s="495"/>
      <c r="H13" s="495" t="s">
        <v>281</v>
      </c>
      <c r="I13" s="495"/>
    </row>
    <row r="14" spans="1:24" ht="25" x14ac:dyDescent="0.35">
      <c r="A14" s="494"/>
      <c r="B14" s="158" t="s">
        <v>282</v>
      </c>
      <c r="C14" s="158" t="s">
        <v>283</v>
      </c>
      <c r="D14" s="158" t="s">
        <v>284</v>
      </c>
      <c r="E14" s="158" t="s">
        <v>285</v>
      </c>
      <c r="F14" s="158" t="s">
        <v>284</v>
      </c>
      <c r="G14" s="158" t="s">
        <v>285</v>
      </c>
      <c r="H14" s="158" t="s">
        <v>282</v>
      </c>
      <c r="I14" s="158" t="s">
        <v>285</v>
      </c>
    </row>
    <row r="15" spans="1:24" x14ac:dyDescent="0.35">
      <c r="A15" s="221" t="s">
        <v>286</v>
      </c>
      <c r="B15" s="364">
        <v>0</v>
      </c>
      <c r="C15" s="364">
        <v>0</v>
      </c>
      <c r="D15" s="364">
        <v>0</v>
      </c>
      <c r="E15" s="364">
        <v>0</v>
      </c>
      <c r="F15" s="364">
        <v>0</v>
      </c>
      <c r="G15" s="364">
        <v>0</v>
      </c>
      <c r="H15" s="364">
        <v>0</v>
      </c>
      <c r="I15" s="364">
        <v>0</v>
      </c>
      <c r="J15" s="222">
        <f t="shared" ref="J15:J21" si="0">SUM(B15:I15)</f>
        <v>0</v>
      </c>
      <c r="K15" s="313">
        <f t="shared" ref="K15:K20" si="1">J15/$J$21</f>
        <v>0</v>
      </c>
    </row>
    <row r="16" spans="1:24" x14ac:dyDescent="0.35">
      <c r="A16" s="159" t="s">
        <v>287</v>
      </c>
      <c r="B16" s="364">
        <v>0</v>
      </c>
      <c r="C16" s="364">
        <v>0</v>
      </c>
      <c r="D16" s="364">
        <v>0.2</v>
      </c>
      <c r="E16" s="364">
        <v>0</v>
      </c>
      <c r="F16" s="364">
        <v>0</v>
      </c>
      <c r="G16" s="364">
        <v>0</v>
      </c>
      <c r="H16" s="364">
        <v>0</v>
      </c>
      <c r="I16" s="364">
        <v>0</v>
      </c>
      <c r="J16" s="222">
        <f t="shared" si="0"/>
        <v>0.2</v>
      </c>
      <c r="K16" s="313">
        <f t="shared" si="1"/>
        <v>8.3333333333333329E-2</v>
      </c>
    </row>
    <row r="17" spans="1:11" x14ac:dyDescent="0.35">
      <c r="A17" s="221" t="s">
        <v>288</v>
      </c>
      <c r="B17" s="364">
        <v>0</v>
      </c>
      <c r="C17" s="364">
        <v>0</v>
      </c>
      <c r="D17" s="364">
        <v>0.2</v>
      </c>
      <c r="E17" s="364">
        <v>0</v>
      </c>
      <c r="F17" s="364">
        <v>0</v>
      </c>
      <c r="G17" s="364">
        <v>0</v>
      </c>
      <c r="H17" s="364">
        <v>0</v>
      </c>
      <c r="I17" s="364">
        <v>0</v>
      </c>
      <c r="J17" s="222">
        <f t="shared" si="0"/>
        <v>0.2</v>
      </c>
      <c r="K17" s="313">
        <f t="shared" si="1"/>
        <v>8.3333333333333329E-2</v>
      </c>
    </row>
    <row r="18" spans="1:11" x14ac:dyDescent="0.35">
      <c r="A18" s="159" t="s">
        <v>234</v>
      </c>
      <c r="B18" s="364">
        <v>0</v>
      </c>
      <c r="C18" s="364">
        <v>0</v>
      </c>
      <c r="D18" s="364">
        <v>0</v>
      </c>
      <c r="E18" s="364">
        <v>0</v>
      </c>
      <c r="F18" s="364">
        <v>0</v>
      </c>
      <c r="G18" s="364">
        <v>0</v>
      </c>
      <c r="H18" s="364">
        <v>0</v>
      </c>
      <c r="I18" s="364">
        <v>0</v>
      </c>
      <c r="J18" s="222">
        <f t="shared" si="0"/>
        <v>0</v>
      </c>
      <c r="K18" s="313">
        <f t="shared" si="1"/>
        <v>0</v>
      </c>
    </row>
    <row r="19" spans="1:11" x14ac:dyDescent="0.35">
      <c r="A19" s="221" t="s">
        <v>289</v>
      </c>
      <c r="B19" s="364">
        <v>0</v>
      </c>
      <c r="C19" s="364">
        <v>0</v>
      </c>
      <c r="D19" s="364">
        <v>0.8</v>
      </c>
      <c r="E19" s="364">
        <v>0.2</v>
      </c>
      <c r="F19" s="364">
        <v>0</v>
      </c>
      <c r="G19" s="364">
        <v>0</v>
      </c>
      <c r="H19" s="364">
        <v>1</v>
      </c>
      <c r="I19" s="365">
        <v>0</v>
      </c>
      <c r="J19" s="222">
        <f t="shared" si="0"/>
        <v>2</v>
      </c>
      <c r="K19" s="313">
        <f t="shared" si="1"/>
        <v>0.83333333333333326</v>
      </c>
    </row>
    <row r="20" spans="1:11" x14ac:dyDescent="0.35">
      <c r="A20" s="159" t="s">
        <v>236</v>
      </c>
      <c r="B20" s="364">
        <v>0</v>
      </c>
      <c r="C20" s="364">
        <v>0</v>
      </c>
      <c r="D20" s="364">
        <v>0</v>
      </c>
      <c r="E20" s="364">
        <v>0</v>
      </c>
      <c r="F20" s="364">
        <v>0</v>
      </c>
      <c r="G20" s="364">
        <v>0</v>
      </c>
      <c r="H20" s="364">
        <v>0</v>
      </c>
      <c r="I20" s="364">
        <v>0</v>
      </c>
      <c r="J20" s="222">
        <f t="shared" si="0"/>
        <v>0</v>
      </c>
      <c r="K20" s="313">
        <f t="shared" si="1"/>
        <v>0</v>
      </c>
    </row>
    <row r="21" spans="1:11" x14ac:dyDescent="0.35">
      <c r="A21" s="160" t="s">
        <v>71</v>
      </c>
      <c r="B21" s="366">
        <f>SUM(B15:B20)</f>
        <v>0</v>
      </c>
      <c r="C21" s="366">
        <v>0</v>
      </c>
      <c r="D21" s="366">
        <f t="shared" ref="D21:I21" si="2">SUM(D15:D20)</f>
        <v>1.2000000000000002</v>
      </c>
      <c r="E21" s="366">
        <f t="shared" si="2"/>
        <v>0.2</v>
      </c>
      <c r="F21" s="366">
        <f t="shared" si="2"/>
        <v>0</v>
      </c>
      <c r="G21" s="366">
        <f t="shared" si="2"/>
        <v>0</v>
      </c>
      <c r="H21" s="366">
        <f t="shared" si="2"/>
        <v>1</v>
      </c>
      <c r="I21" s="366">
        <f t="shared" si="2"/>
        <v>0</v>
      </c>
      <c r="J21" s="222">
        <f t="shared" si="0"/>
        <v>2.4000000000000004</v>
      </c>
      <c r="K21" s="314">
        <f>SUM(K15:K20)</f>
        <v>0.99999999999999989</v>
      </c>
    </row>
    <row r="22" spans="1:11" x14ac:dyDescent="0.35">
      <c r="A22" s="402" t="s">
        <v>290</v>
      </c>
    </row>
    <row r="24" spans="1:11" x14ac:dyDescent="0.35">
      <c r="A24" s="311"/>
      <c r="B24" s="311" t="s">
        <v>291</v>
      </c>
      <c r="C24" s="311" t="s">
        <v>292</v>
      </c>
    </row>
    <row r="25" spans="1:11" x14ac:dyDescent="0.35">
      <c r="A25" s="221" t="s">
        <v>286</v>
      </c>
      <c r="B25" s="403">
        <f t="shared" ref="B25:C31" si="3">J15</f>
        <v>0</v>
      </c>
      <c r="C25" s="315">
        <f t="shared" si="3"/>
        <v>0</v>
      </c>
    </row>
    <row r="26" spans="1:11" x14ac:dyDescent="0.35">
      <c r="A26" s="159" t="s">
        <v>287</v>
      </c>
      <c r="B26" s="403">
        <f t="shared" si="3"/>
        <v>0.2</v>
      </c>
      <c r="C26" s="315">
        <f t="shared" si="3"/>
        <v>8.3333333333333329E-2</v>
      </c>
    </row>
    <row r="27" spans="1:11" x14ac:dyDescent="0.35">
      <c r="A27" s="221" t="s">
        <v>288</v>
      </c>
      <c r="B27" s="403">
        <f t="shared" si="3"/>
        <v>0.2</v>
      </c>
      <c r="C27" s="315">
        <f t="shared" si="3"/>
        <v>8.3333333333333329E-2</v>
      </c>
    </row>
    <row r="28" spans="1:11" x14ac:dyDescent="0.35">
      <c r="A28" s="159" t="s">
        <v>234</v>
      </c>
      <c r="B28" s="403">
        <f t="shared" si="3"/>
        <v>0</v>
      </c>
      <c r="C28" s="315">
        <f t="shared" si="3"/>
        <v>0</v>
      </c>
    </row>
    <row r="29" spans="1:11" x14ac:dyDescent="0.35">
      <c r="A29" s="221" t="s">
        <v>289</v>
      </c>
      <c r="B29" s="403">
        <f t="shared" si="3"/>
        <v>2</v>
      </c>
      <c r="C29" s="315">
        <f t="shared" si="3"/>
        <v>0.83333333333333326</v>
      </c>
    </row>
    <row r="30" spans="1:11" x14ac:dyDescent="0.35">
      <c r="A30" s="159" t="s">
        <v>236</v>
      </c>
      <c r="B30" s="403">
        <f t="shared" si="3"/>
        <v>0</v>
      </c>
      <c r="C30" s="315">
        <f t="shared" si="3"/>
        <v>0</v>
      </c>
    </row>
    <row r="31" spans="1:11" x14ac:dyDescent="0.35">
      <c r="A31" s="160" t="s">
        <v>71</v>
      </c>
      <c r="B31" s="403">
        <f t="shared" si="3"/>
        <v>2.4000000000000004</v>
      </c>
      <c r="C31" s="315">
        <f t="shared" si="3"/>
        <v>0.99999999999999989</v>
      </c>
    </row>
    <row r="32" spans="1:11" x14ac:dyDescent="0.35">
      <c r="B32" s="404"/>
    </row>
    <row r="33" spans="1:3" x14ac:dyDescent="0.35">
      <c r="A33" t="s">
        <v>293</v>
      </c>
      <c r="B33" s="404"/>
    </row>
    <row r="34" spans="1:3" x14ac:dyDescent="0.35">
      <c r="A34" s="311"/>
      <c r="B34" s="403" t="s">
        <v>291</v>
      </c>
      <c r="C34" s="311" t="s">
        <v>292</v>
      </c>
    </row>
    <row r="35" spans="1:3" x14ac:dyDescent="0.35">
      <c r="A35" s="221" t="s">
        <v>286</v>
      </c>
      <c r="B35" s="403">
        <f t="shared" ref="B35:B41" si="4">SUM(B15,D15,F15,H15)</f>
        <v>0</v>
      </c>
      <c r="C35" s="315">
        <f t="shared" ref="C35:C41" si="5">B35/$B$41</f>
        <v>0</v>
      </c>
    </row>
    <row r="36" spans="1:3" x14ac:dyDescent="0.35">
      <c r="A36" s="159" t="s">
        <v>287</v>
      </c>
      <c r="B36" s="403">
        <f t="shared" si="4"/>
        <v>0.2</v>
      </c>
      <c r="C36" s="315">
        <f t="shared" si="5"/>
        <v>9.0909090909090912E-2</v>
      </c>
    </row>
    <row r="37" spans="1:3" x14ac:dyDescent="0.35">
      <c r="A37" s="221" t="s">
        <v>288</v>
      </c>
      <c r="B37" s="403">
        <f t="shared" si="4"/>
        <v>0.2</v>
      </c>
      <c r="C37" s="315">
        <f t="shared" si="5"/>
        <v>9.0909090909090912E-2</v>
      </c>
    </row>
    <row r="38" spans="1:3" x14ac:dyDescent="0.35">
      <c r="A38" s="159" t="s">
        <v>234</v>
      </c>
      <c r="B38" s="403">
        <f t="shared" si="4"/>
        <v>0</v>
      </c>
      <c r="C38" s="315">
        <f t="shared" si="5"/>
        <v>0</v>
      </c>
    </row>
    <row r="39" spans="1:3" x14ac:dyDescent="0.35">
      <c r="A39" s="221" t="s">
        <v>289</v>
      </c>
      <c r="B39" s="403">
        <f t="shared" si="4"/>
        <v>1.8</v>
      </c>
      <c r="C39" s="315">
        <f t="shared" si="5"/>
        <v>0.81818181818181812</v>
      </c>
    </row>
    <row r="40" spans="1:3" x14ac:dyDescent="0.35">
      <c r="A40" s="159" t="s">
        <v>236</v>
      </c>
      <c r="B40" s="403">
        <f t="shared" si="4"/>
        <v>0</v>
      </c>
      <c r="C40" s="315">
        <f t="shared" si="5"/>
        <v>0</v>
      </c>
    </row>
    <row r="41" spans="1:3" x14ac:dyDescent="0.35">
      <c r="A41" s="160" t="s">
        <v>71</v>
      </c>
      <c r="B41" s="403">
        <f t="shared" si="4"/>
        <v>2.2000000000000002</v>
      </c>
      <c r="C41" s="315">
        <f t="shared" si="5"/>
        <v>1</v>
      </c>
    </row>
    <row r="44" spans="1:3" x14ac:dyDescent="0.35">
      <c r="A44" t="s">
        <v>294</v>
      </c>
    </row>
    <row r="45" spans="1:3" x14ac:dyDescent="0.35">
      <c r="A45" s="311"/>
      <c r="B45" s="311" t="s">
        <v>291</v>
      </c>
      <c r="C45" s="311" t="s">
        <v>292</v>
      </c>
    </row>
    <row r="46" spans="1:3" x14ac:dyDescent="0.35">
      <c r="A46" s="221" t="s">
        <v>286</v>
      </c>
      <c r="B46" s="403">
        <f t="shared" ref="B46:B52" si="6">SUM(C15,E15,G15,I15)</f>
        <v>0</v>
      </c>
      <c r="C46" s="315">
        <f>IFERROR(B46/$B$52,0)</f>
        <v>0</v>
      </c>
    </row>
    <row r="47" spans="1:3" x14ac:dyDescent="0.35">
      <c r="A47" s="159" t="s">
        <v>287</v>
      </c>
      <c r="B47" s="403">
        <f t="shared" si="6"/>
        <v>0</v>
      </c>
      <c r="C47" s="315">
        <f t="shared" ref="C47:C52" si="7">IFERROR(B47/$B$52,0)</f>
        <v>0</v>
      </c>
    </row>
    <row r="48" spans="1:3" x14ac:dyDescent="0.35">
      <c r="A48" s="221" t="s">
        <v>288</v>
      </c>
      <c r="B48" s="403">
        <f t="shared" si="6"/>
        <v>0</v>
      </c>
      <c r="C48" s="315">
        <f t="shared" si="7"/>
        <v>0</v>
      </c>
    </row>
    <row r="49" spans="1:3" x14ac:dyDescent="0.35">
      <c r="A49" s="159" t="s">
        <v>234</v>
      </c>
      <c r="B49" s="403">
        <f t="shared" si="6"/>
        <v>0</v>
      </c>
      <c r="C49" s="315">
        <f t="shared" si="7"/>
        <v>0</v>
      </c>
    </row>
    <row r="50" spans="1:3" x14ac:dyDescent="0.35">
      <c r="A50" s="221" t="s">
        <v>289</v>
      </c>
      <c r="B50" s="403">
        <f t="shared" si="6"/>
        <v>0.2</v>
      </c>
      <c r="C50" s="315">
        <f t="shared" si="7"/>
        <v>1</v>
      </c>
    </row>
    <row r="51" spans="1:3" x14ac:dyDescent="0.35">
      <c r="A51" s="159" t="s">
        <v>236</v>
      </c>
      <c r="B51" s="403">
        <f t="shared" si="6"/>
        <v>0</v>
      </c>
      <c r="C51" s="315">
        <f t="shared" si="7"/>
        <v>0</v>
      </c>
    </row>
    <row r="52" spans="1:3" x14ac:dyDescent="0.35">
      <c r="A52" s="160" t="s">
        <v>71</v>
      </c>
      <c r="B52" s="403">
        <f t="shared" si="6"/>
        <v>0.2</v>
      </c>
      <c r="C52" s="315">
        <f t="shared" si="7"/>
        <v>1</v>
      </c>
    </row>
  </sheetData>
  <mergeCells count="7">
    <mergeCell ref="A12:A14"/>
    <mergeCell ref="B12:E12"/>
    <mergeCell ref="F12:I12"/>
    <mergeCell ref="B13:C13"/>
    <mergeCell ref="D13:E13"/>
    <mergeCell ref="F13:G13"/>
    <mergeCell ref="H13:I1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91594-7E72-4B89-8E84-FC5E28237CB3}">
  <sheetPr>
    <tabColor rgb="FF002060"/>
  </sheetPr>
  <dimension ref="A1:U36"/>
  <sheetViews>
    <sheetView topLeftCell="A3" zoomScale="115" zoomScaleNormal="115" workbookViewId="0">
      <selection activeCell="E18" sqref="E18"/>
    </sheetView>
  </sheetViews>
  <sheetFormatPr defaultRowHeight="14.5" x14ac:dyDescent="0.35"/>
  <cols>
    <col min="1" max="1" width="12.7265625" style="1" bestFit="1" customWidth="1"/>
    <col min="2" max="2" width="7.7265625" style="3" customWidth="1"/>
    <col min="3" max="3" width="24.1796875" style="3" customWidth="1"/>
    <col min="4" max="4" width="20.7265625" style="4" customWidth="1"/>
    <col min="5" max="6" width="18.26953125" style="4" customWidth="1"/>
    <col min="7" max="7" width="19.26953125" style="6" customWidth="1"/>
    <col min="8" max="8" width="21.7265625" style="6" customWidth="1"/>
    <col min="9" max="9" width="14.7265625" style="6" customWidth="1"/>
    <col min="10" max="10" width="22.81640625" style="6" customWidth="1"/>
    <col min="11" max="11" width="16.7265625" style="6" customWidth="1"/>
    <col min="12" max="12" width="32" style="6" customWidth="1"/>
    <col min="13" max="13" width="18.1796875" style="6" customWidth="1"/>
    <col min="14" max="14" width="14.453125" style="1" customWidth="1"/>
    <col min="15" max="16" width="13.26953125" style="3" customWidth="1"/>
    <col min="17" max="17" width="16.54296875" style="6" customWidth="1"/>
    <col min="18" max="18" width="14.7265625" style="6" customWidth="1"/>
    <col min="19" max="19" width="9.1796875" style="1"/>
    <col min="20" max="20" width="7.54296875" style="1" customWidth="1"/>
    <col min="21" max="21" width="18.7265625" style="1" customWidth="1"/>
  </cols>
  <sheetData>
    <row r="1" spans="1:21" ht="20" x14ac:dyDescent="0.4">
      <c r="B1" s="2" t="s">
        <v>295</v>
      </c>
      <c r="F1" s="5"/>
      <c r="L1" s="1"/>
      <c r="M1" s="2"/>
      <c r="N1" s="3"/>
      <c r="O1" s="4"/>
      <c r="P1" s="4"/>
      <c r="Q1" s="1"/>
      <c r="R1" s="1"/>
    </row>
    <row r="2" spans="1:21" x14ac:dyDescent="0.35">
      <c r="L2" s="1"/>
      <c r="M2" s="3"/>
      <c r="N2" s="3"/>
      <c r="O2" s="4"/>
      <c r="P2" s="4"/>
      <c r="Q2" s="1"/>
      <c r="R2" s="1"/>
    </row>
    <row r="3" spans="1:21" ht="17.5" x14ac:dyDescent="0.35">
      <c r="B3" s="7" t="s">
        <v>296</v>
      </c>
      <c r="C3" s="1"/>
      <c r="D3" s="8"/>
      <c r="E3" s="8"/>
      <c r="F3" s="8"/>
      <c r="G3" s="9"/>
      <c r="H3" s="8"/>
      <c r="I3" s="9"/>
      <c r="J3" s="8"/>
      <c r="K3" s="8"/>
      <c r="L3" s="1"/>
      <c r="M3" s="7"/>
      <c r="O3" s="8"/>
      <c r="P3" s="8"/>
      <c r="Q3" s="1"/>
      <c r="R3" s="1"/>
    </row>
    <row r="4" spans="1:21" ht="17.5" x14ac:dyDescent="0.35">
      <c r="A4"/>
      <c r="B4" s="7" t="s">
        <v>34</v>
      </c>
      <c r="C4"/>
      <c r="D4"/>
      <c r="E4"/>
      <c r="F4"/>
      <c r="G4"/>
      <c r="H4"/>
      <c r="I4"/>
      <c r="J4"/>
      <c r="K4"/>
      <c r="L4"/>
      <c r="M4"/>
      <c r="N4"/>
      <c r="O4"/>
      <c r="P4"/>
      <c r="Q4"/>
      <c r="R4"/>
      <c r="S4"/>
      <c r="T4"/>
      <c r="U4"/>
    </row>
    <row r="5" spans="1:21" ht="17.5" x14ac:dyDescent="0.35">
      <c r="B5" s="15" t="s">
        <v>297</v>
      </c>
    </row>
    <row r="6" spans="1:21" x14ac:dyDescent="0.35">
      <c r="B6" s="458"/>
    </row>
    <row r="7" spans="1:21" s="1" customFormat="1" ht="17.5" x14ac:dyDescent="0.25">
      <c r="B7" s="10" t="s">
        <v>298</v>
      </c>
      <c r="C7" s="11"/>
      <c r="D7" s="12"/>
      <c r="E7" s="12"/>
      <c r="F7" s="12"/>
      <c r="G7" s="13"/>
      <c r="H7" s="13"/>
      <c r="I7" s="13"/>
      <c r="J7" s="12"/>
      <c r="K7" s="12"/>
      <c r="L7" s="14"/>
      <c r="N7" s="15"/>
      <c r="Q7" s="8"/>
    </row>
    <row r="8" spans="1:21" s="1" customFormat="1" ht="16.149999999999999" customHeight="1" x14ac:dyDescent="0.25">
      <c r="B8" s="499" t="s">
        <v>299</v>
      </c>
      <c r="C8" s="500"/>
      <c r="D8" s="500"/>
      <c r="E8" s="500"/>
      <c r="F8" s="500"/>
      <c r="G8" s="500"/>
      <c r="H8" s="500"/>
      <c r="I8" s="500"/>
      <c r="J8" s="500"/>
      <c r="K8" s="500"/>
      <c r="L8" s="501"/>
      <c r="N8" s="22"/>
      <c r="Q8" s="8"/>
    </row>
    <row r="9" spans="1:21" s="1" customFormat="1" ht="12.5" x14ac:dyDescent="0.25">
      <c r="B9" s="18"/>
      <c r="C9" s="169"/>
      <c r="D9" s="19"/>
      <c r="E9" s="20"/>
      <c r="F9" s="170"/>
      <c r="G9" s="168"/>
      <c r="H9" s="168"/>
      <c r="I9" s="168"/>
      <c r="J9" s="168"/>
      <c r="K9" s="168"/>
      <c r="L9" s="16"/>
      <c r="N9" s="21"/>
      <c r="O9" s="8"/>
      <c r="P9" s="8"/>
      <c r="Q9" s="8"/>
    </row>
    <row r="10" spans="1:21" s="1" customFormat="1" ht="30" customHeight="1" x14ac:dyDescent="0.25">
      <c r="B10" s="499" t="s">
        <v>300</v>
      </c>
      <c r="C10" s="500"/>
      <c r="D10" s="500"/>
      <c r="E10" s="500"/>
      <c r="F10" s="500"/>
      <c r="G10" s="500"/>
      <c r="H10" s="500"/>
      <c r="I10" s="500"/>
      <c r="J10" s="500"/>
      <c r="K10" s="500"/>
      <c r="L10" s="501"/>
      <c r="N10" s="22"/>
      <c r="Q10" s="8"/>
    </row>
    <row r="11" spans="1:21" s="1" customFormat="1" ht="12.5" x14ac:dyDescent="0.25">
      <c r="B11" s="18"/>
      <c r="C11" s="169"/>
      <c r="D11" s="19"/>
      <c r="E11" s="20"/>
      <c r="F11" s="170"/>
      <c r="G11" s="168"/>
      <c r="H11" s="168"/>
      <c r="I11" s="168"/>
      <c r="J11" s="168"/>
      <c r="K11" s="168"/>
      <c r="L11" s="16"/>
      <c r="N11" s="21"/>
      <c r="O11" s="8"/>
      <c r="P11" s="8"/>
      <c r="Q11" s="8"/>
    </row>
    <row r="12" spans="1:21" s="1" customFormat="1" ht="13" x14ac:dyDescent="0.25">
      <c r="B12" s="499" t="s">
        <v>301</v>
      </c>
      <c r="C12" s="500"/>
      <c r="D12" s="500"/>
      <c r="E12" s="500"/>
      <c r="F12" s="500"/>
      <c r="G12" s="500"/>
      <c r="H12" s="500"/>
      <c r="I12" s="500"/>
      <c r="J12" s="500"/>
      <c r="K12" s="500"/>
      <c r="L12" s="501"/>
      <c r="N12" s="17"/>
      <c r="Q12" s="8"/>
    </row>
    <row r="13" spans="1:21" s="1" customFormat="1" ht="12.5" x14ac:dyDescent="0.25">
      <c r="B13" s="18"/>
      <c r="C13" s="169"/>
      <c r="D13" s="19"/>
      <c r="E13" s="20"/>
      <c r="F13" s="170"/>
      <c r="G13" s="168"/>
      <c r="H13" s="168"/>
      <c r="I13" s="168"/>
      <c r="J13" s="168"/>
      <c r="K13" s="168"/>
      <c r="L13" s="16"/>
      <c r="N13" s="21"/>
      <c r="O13" s="8"/>
      <c r="P13" s="8"/>
      <c r="Q13" s="8"/>
    </row>
    <row r="14" spans="1:21" s="1" customFormat="1" ht="29.25" customHeight="1" x14ac:dyDescent="0.25">
      <c r="B14" s="499" t="s">
        <v>302</v>
      </c>
      <c r="C14" s="500"/>
      <c r="D14" s="500"/>
      <c r="E14" s="500"/>
      <c r="F14" s="500"/>
      <c r="G14" s="500"/>
      <c r="H14" s="500"/>
      <c r="I14" s="500"/>
      <c r="J14" s="500"/>
      <c r="K14" s="500"/>
      <c r="L14" s="501"/>
      <c r="N14" s="17"/>
      <c r="Q14" s="8"/>
    </row>
    <row r="15" spans="1:21" s="1" customFormat="1" ht="12.5" x14ac:dyDescent="0.25">
      <c r="B15" s="171"/>
      <c r="C15" s="85"/>
      <c r="D15" s="172"/>
      <c r="E15" s="172"/>
      <c r="F15" s="173"/>
      <c r="G15" s="174"/>
      <c r="H15" s="174"/>
      <c r="I15" s="174"/>
      <c r="J15" s="174"/>
      <c r="K15" s="174"/>
      <c r="L15" s="175"/>
      <c r="N15" s="8"/>
      <c r="O15" s="8"/>
      <c r="P15" s="8"/>
      <c r="Q15" s="8"/>
    </row>
    <row r="16" spans="1:21" s="1" customFormat="1" ht="12.5" x14ac:dyDescent="0.25">
      <c r="B16" s="8"/>
      <c r="C16" s="24"/>
      <c r="D16" s="25"/>
      <c r="E16" s="24"/>
      <c r="F16" s="24"/>
      <c r="H16" s="24"/>
      <c r="I16" s="23"/>
      <c r="J16" s="25"/>
      <c r="K16" s="24"/>
      <c r="L16" s="24"/>
      <c r="N16" s="24"/>
      <c r="O16" s="8"/>
      <c r="P16" s="8"/>
    </row>
    <row r="17" spans="1:21" s="1" customFormat="1" ht="12.5" x14ac:dyDescent="0.25">
      <c r="B17" s="24"/>
      <c r="C17" s="24"/>
      <c r="D17" s="25"/>
      <c r="E17" s="24"/>
      <c r="F17" s="24"/>
      <c r="H17" s="24"/>
      <c r="I17" s="23"/>
      <c r="J17" s="25"/>
      <c r="K17" s="24"/>
      <c r="L17" s="24"/>
      <c r="N17" s="24"/>
      <c r="O17" s="8"/>
      <c r="P17" s="8"/>
    </row>
    <row r="18" spans="1:21" ht="20" x14ac:dyDescent="0.4">
      <c r="A18" s="24"/>
      <c r="B18" s="151" t="s">
        <v>303</v>
      </c>
      <c r="D18" s="150"/>
      <c r="E18" s="28"/>
      <c r="F18" s="28"/>
      <c r="G18" s="29"/>
      <c r="H18" s="29" t="s">
        <v>304</v>
      </c>
      <c r="I18" s="29"/>
      <c r="J18" s="29"/>
      <c r="K18" s="30"/>
      <c r="L18" s="30"/>
      <c r="M18" s="30"/>
      <c r="O18" s="1"/>
      <c r="P18" s="1"/>
      <c r="Q18" s="28"/>
      <c r="R18" s="31"/>
      <c r="S18" s="29"/>
      <c r="T18" s="29"/>
      <c r="U18" s="29"/>
    </row>
    <row r="19" spans="1:21" x14ac:dyDescent="0.35">
      <c r="A19" s="24"/>
      <c r="B19" s="8"/>
      <c r="C19" s="24"/>
      <c r="D19" s="25"/>
      <c r="E19" s="25"/>
      <c r="F19" s="25"/>
      <c r="G19" s="24"/>
      <c r="H19" s="24"/>
      <c r="I19" s="24"/>
      <c r="J19" s="24"/>
      <c r="K19" s="23"/>
      <c r="L19" s="8"/>
      <c r="M19" s="1"/>
      <c r="O19" s="8"/>
      <c r="P19" s="8"/>
      <c r="Q19" s="8"/>
      <c r="R19" s="1"/>
      <c r="T19" s="8"/>
      <c r="U19" s="24"/>
    </row>
    <row r="20" spans="1:21" ht="51" customHeight="1" x14ac:dyDescent="0.35">
      <c r="A20" s="497" t="s">
        <v>305</v>
      </c>
      <c r="B20" s="36"/>
      <c r="C20" s="310" t="s">
        <v>306</v>
      </c>
      <c r="D20" s="307" t="s">
        <v>307</v>
      </c>
      <c r="E20" s="307" t="s">
        <v>308</v>
      </c>
      <c r="F20" s="307" t="s">
        <v>309</v>
      </c>
      <c r="G20" s="307" t="s">
        <v>310</v>
      </c>
      <c r="H20" s="307" t="s">
        <v>311</v>
      </c>
      <c r="I20" s="42" t="s">
        <v>312</v>
      </c>
      <c r="J20" s="40" t="s">
        <v>313</v>
      </c>
      <c r="P20" s="1"/>
      <c r="Q20" s="1"/>
      <c r="R20" s="1"/>
    </row>
    <row r="21" spans="1:21" x14ac:dyDescent="0.35">
      <c r="A21" s="497"/>
      <c r="B21" s="41" t="s">
        <v>56</v>
      </c>
      <c r="C21" s="321" t="str">
        <f t="shared" ref="C21:J21" si="0">_xlfn.CONCAT(CurrentDollarYear, "$")</f>
        <v>2022$</v>
      </c>
      <c r="D21" s="162" t="str">
        <f t="shared" si="0"/>
        <v>2022$</v>
      </c>
      <c r="E21" s="162" t="str">
        <f t="shared" si="0"/>
        <v>2022$</v>
      </c>
      <c r="F21" s="162" t="str">
        <f t="shared" si="0"/>
        <v>2022$</v>
      </c>
      <c r="G21" s="162" t="str">
        <f t="shared" si="0"/>
        <v>2022$</v>
      </c>
      <c r="H21" s="162" t="str">
        <f t="shared" si="0"/>
        <v>2022$</v>
      </c>
      <c r="I21" s="44" t="str">
        <f t="shared" si="0"/>
        <v>2022$</v>
      </c>
      <c r="J21" s="45" t="str">
        <f t="shared" si="0"/>
        <v>2022$</v>
      </c>
      <c r="P21" s="1"/>
      <c r="Q21" s="1"/>
      <c r="R21" s="1"/>
    </row>
    <row r="22" spans="1:21" x14ac:dyDescent="0.35">
      <c r="A22" s="1">
        <f>'F.Params&amp;Assumptions(UserInput)'!F16</f>
        <v>2028</v>
      </c>
      <c r="B22" s="46">
        <v>1</v>
      </c>
      <c r="C22" s="328">
        <f>'App_4_Annual Crash Benefits'!$J$9</f>
        <v>0</v>
      </c>
      <c r="D22" s="328">
        <f>'App_4_Annual Crash Benefits'!$J$10</f>
        <v>5941.0000000000009</v>
      </c>
      <c r="E22" s="328">
        <f>'App_4_Annual Crash Benefits'!$J$11</f>
        <v>1169.0000000000002</v>
      </c>
      <c r="F22" s="328">
        <f>'App_4_Annual Crash Benefits'!$J$12</f>
        <v>0</v>
      </c>
      <c r="G22" s="328">
        <f>'App_4_Annual Crash Benefits'!$J$13</f>
        <v>225</v>
      </c>
      <c r="H22" s="328">
        <f>'App_4_Annual Crash Benefits'!$J$14</f>
        <v>0</v>
      </c>
      <c r="I22" s="47">
        <f t="shared" ref="I22:I31" si="1">SUM(C22:H22)</f>
        <v>7335.0000000000009</v>
      </c>
      <c r="J22" s="48">
        <f t="shared" ref="J22:J31" si="2">$I22/(1+RealDiscountRate)^(A22-CurrentDollarYear)</f>
        <v>6107.2841478848231</v>
      </c>
      <c r="P22" s="1"/>
      <c r="Q22" s="1"/>
      <c r="R22" s="1"/>
    </row>
    <row r="23" spans="1:21" x14ac:dyDescent="0.35">
      <c r="A23" s="1">
        <f>A22+1</f>
        <v>2029</v>
      </c>
      <c r="B23" s="55">
        <f>B22+1</f>
        <v>2</v>
      </c>
      <c r="C23" s="328">
        <f>'App_4_Annual Crash Benefits'!$J$9</f>
        <v>0</v>
      </c>
      <c r="D23" s="328">
        <f>'App_4_Annual Crash Benefits'!$J$10</f>
        <v>5941.0000000000009</v>
      </c>
      <c r="E23" s="328">
        <f>'App_4_Annual Crash Benefits'!$J$11</f>
        <v>1169.0000000000002</v>
      </c>
      <c r="F23" s="328">
        <f>'App_4_Annual Crash Benefits'!$J$12</f>
        <v>0</v>
      </c>
      <c r="G23" s="328">
        <f>'App_4_Annual Crash Benefits'!$J$13</f>
        <v>225</v>
      </c>
      <c r="H23" s="328">
        <f>'App_4_Annual Crash Benefits'!$J$14</f>
        <v>0</v>
      </c>
      <c r="I23" s="47">
        <f t="shared" si="1"/>
        <v>7335.0000000000009</v>
      </c>
      <c r="J23" s="48">
        <f t="shared" si="2"/>
        <v>5923.6509678805278</v>
      </c>
      <c r="P23" s="1"/>
      <c r="Q23" s="1"/>
      <c r="R23" s="1"/>
    </row>
    <row r="24" spans="1:21" x14ac:dyDescent="0.35">
      <c r="A24" s="1">
        <f t="shared" ref="A24:A31" si="3">A23+1</f>
        <v>2030</v>
      </c>
      <c r="B24" s="46">
        <f>B23+1</f>
        <v>3</v>
      </c>
      <c r="C24" s="328">
        <f>'App_4_Annual Crash Benefits'!$J$9</f>
        <v>0</v>
      </c>
      <c r="D24" s="328">
        <f>'App_4_Annual Crash Benefits'!$J$10</f>
        <v>5941.0000000000009</v>
      </c>
      <c r="E24" s="328">
        <f>'App_4_Annual Crash Benefits'!$J$11</f>
        <v>1169.0000000000002</v>
      </c>
      <c r="F24" s="328">
        <f>'App_4_Annual Crash Benefits'!$J$12</f>
        <v>0</v>
      </c>
      <c r="G24" s="328">
        <f>'App_4_Annual Crash Benefits'!$J$13</f>
        <v>225</v>
      </c>
      <c r="H24" s="328">
        <f>'App_4_Annual Crash Benefits'!$J$14</f>
        <v>0</v>
      </c>
      <c r="I24" s="47">
        <f t="shared" si="1"/>
        <v>7335.0000000000009</v>
      </c>
      <c r="J24" s="48">
        <f t="shared" si="2"/>
        <v>5745.5392510965348</v>
      </c>
      <c r="P24" s="1"/>
      <c r="Q24" s="1"/>
      <c r="R24" s="1"/>
    </row>
    <row r="25" spans="1:21" x14ac:dyDescent="0.35">
      <c r="A25" s="1">
        <f t="shared" si="3"/>
        <v>2031</v>
      </c>
      <c r="B25" s="46">
        <f t="shared" ref="B25:B31" si="4">B24+1</f>
        <v>4</v>
      </c>
      <c r="C25" s="328">
        <f>'App_4_Annual Crash Benefits'!$J$9</f>
        <v>0</v>
      </c>
      <c r="D25" s="328">
        <f>'App_4_Annual Crash Benefits'!$J$10</f>
        <v>5941.0000000000009</v>
      </c>
      <c r="E25" s="328">
        <f>'App_4_Annual Crash Benefits'!$J$11</f>
        <v>1169.0000000000002</v>
      </c>
      <c r="F25" s="328">
        <f>'App_4_Annual Crash Benefits'!$J$12</f>
        <v>0</v>
      </c>
      <c r="G25" s="328">
        <f>'App_4_Annual Crash Benefits'!$J$13</f>
        <v>225</v>
      </c>
      <c r="H25" s="328">
        <f>'App_4_Annual Crash Benefits'!$J$14</f>
        <v>0</v>
      </c>
      <c r="I25" s="47">
        <f t="shared" si="1"/>
        <v>7335.0000000000009</v>
      </c>
      <c r="J25" s="48">
        <f t="shared" si="2"/>
        <v>5572.7829787551273</v>
      </c>
      <c r="P25" s="1"/>
      <c r="Q25" s="1"/>
      <c r="R25" s="1"/>
    </row>
    <row r="26" spans="1:21" x14ac:dyDescent="0.35">
      <c r="A26" s="1">
        <f t="shared" si="3"/>
        <v>2032</v>
      </c>
      <c r="B26" s="46">
        <f t="shared" si="4"/>
        <v>5</v>
      </c>
      <c r="C26" s="328">
        <f>'App_4_Annual Crash Benefits'!$J$9</f>
        <v>0</v>
      </c>
      <c r="D26" s="328">
        <f>'App_4_Annual Crash Benefits'!$J$10</f>
        <v>5941.0000000000009</v>
      </c>
      <c r="E26" s="328">
        <f>'App_4_Annual Crash Benefits'!$J$11</f>
        <v>1169.0000000000002</v>
      </c>
      <c r="F26" s="328">
        <f>'App_4_Annual Crash Benefits'!$J$12</f>
        <v>0</v>
      </c>
      <c r="G26" s="328">
        <f>'App_4_Annual Crash Benefits'!$J$13</f>
        <v>225</v>
      </c>
      <c r="H26" s="328">
        <f>'App_4_Annual Crash Benefits'!$J$14</f>
        <v>0</v>
      </c>
      <c r="I26" s="47">
        <f t="shared" si="1"/>
        <v>7335.0000000000009</v>
      </c>
      <c r="J26" s="48">
        <f t="shared" si="2"/>
        <v>5405.2211239137996</v>
      </c>
      <c r="P26" s="1"/>
      <c r="Q26" s="1"/>
      <c r="R26" s="1"/>
    </row>
    <row r="27" spans="1:21" x14ac:dyDescent="0.35">
      <c r="A27" s="1">
        <f t="shared" si="3"/>
        <v>2033</v>
      </c>
      <c r="B27" s="46">
        <f t="shared" si="4"/>
        <v>6</v>
      </c>
      <c r="C27" s="328">
        <f>'App_4_Annual Crash Benefits'!$J$9</f>
        <v>0</v>
      </c>
      <c r="D27" s="328">
        <f>'App_4_Annual Crash Benefits'!$J$10</f>
        <v>5941.0000000000009</v>
      </c>
      <c r="E27" s="328">
        <f>'App_4_Annual Crash Benefits'!$J$11</f>
        <v>1169.0000000000002</v>
      </c>
      <c r="F27" s="328">
        <f>'App_4_Annual Crash Benefits'!$J$12</f>
        <v>0</v>
      </c>
      <c r="G27" s="328">
        <f>'App_4_Annual Crash Benefits'!$J$13</f>
        <v>225</v>
      </c>
      <c r="H27" s="328">
        <f>'App_4_Annual Crash Benefits'!$J$14</f>
        <v>0</v>
      </c>
      <c r="I27" s="47">
        <f t="shared" si="1"/>
        <v>7335.0000000000009</v>
      </c>
      <c r="J27" s="48">
        <f t="shared" si="2"/>
        <v>5242.6975013712899</v>
      </c>
      <c r="P27" s="1"/>
      <c r="Q27" s="1"/>
      <c r="R27" s="1"/>
    </row>
    <row r="28" spans="1:21" x14ac:dyDescent="0.35">
      <c r="A28" s="1">
        <f t="shared" si="3"/>
        <v>2034</v>
      </c>
      <c r="B28" s="46">
        <f t="shared" si="4"/>
        <v>7</v>
      </c>
      <c r="C28" s="328">
        <f>'App_4_Annual Crash Benefits'!$J$9</f>
        <v>0</v>
      </c>
      <c r="D28" s="328">
        <f>'App_4_Annual Crash Benefits'!$J$10</f>
        <v>5941.0000000000009</v>
      </c>
      <c r="E28" s="328">
        <f>'App_4_Annual Crash Benefits'!$J$11</f>
        <v>1169.0000000000002</v>
      </c>
      <c r="F28" s="328">
        <f>'App_4_Annual Crash Benefits'!$J$12</f>
        <v>0</v>
      </c>
      <c r="G28" s="328">
        <f>'App_4_Annual Crash Benefits'!$J$13</f>
        <v>225</v>
      </c>
      <c r="H28" s="328">
        <f>'App_4_Annual Crash Benefits'!$J$14</f>
        <v>0</v>
      </c>
      <c r="I28" s="47">
        <f t="shared" si="1"/>
        <v>7335.0000000000009</v>
      </c>
      <c r="J28" s="48">
        <f t="shared" si="2"/>
        <v>5085.0606220866048</v>
      </c>
      <c r="P28" s="1"/>
      <c r="Q28" s="1"/>
      <c r="R28" s="1"/>
    </row>
    <row r="29" spans="1:21" x14ac:dyDescent="0.35">
      <c r="A29" s="1">
        <f t="shared" si="3"/>
        <v>2035</v>
      </c>
      <c r="B29" s="46">
        <f t="shared" si="4"/>
        <v>8</v>
      </c>
      <c r="C29" s="328">
        <f>'App_4_Annual Crash Benefits'!$J$9</f>
        <v>0</v>
      </c>
      <c r="D29" s="328">
        <f>'App_4_Annual Crash Benefits'!$J$10</f>
        <v>5941.0000000000009</v>
      </c>
      <c r="E29" s="328">
        <f>'App_4_Annual Crash Benefits'!$J$11</f>
        <v>1169.0000000000002</v>
      </c>
      <c r="F29" s="328">
        <f>'App_4_Annual Crash Benefits'!$J$12</f>
        <v>0</v>
      </c>
      <c r="G29" s="328">
        <f>'App_4_Annual Crash Benefits'!$J$13</f>
        <v>225</v>
      </c>
      <c r="H29" s="328">
        <f>'App_4_Annual Crash Benefits'!$J$14</f>
        <v>0</v>
      </c>
      <c r="I29" s="47">
        <f t="shared" si="1"/>
        <v>7335.0000000000009</v>
      </c>
      <c r="J29" s="48">
        <f t="shared" si="2"/>
        <v>4932.1635519753681</v>
      </c>
      <c r="P29" s="1"/>
      <c r="Q29" s="1"/>
      <c r="R29" s="1"/>
    </row>
    <row r="30" spans="1:21" x14ac:dyDescent="0.35">
      <c r="A30" s="1">
        <f t="shared" si="3"/>
        <v>2036</v>
      </c>
      <c r="B30" s="46">
        <f t="shared" si="4"/>
        <v>9</v>
      </c>
      <c r="C30" s="328">
        <f>'App_4_Annual Crash Benefits'!$J$9</f>
        <v>0</v>
      </c>
      <c r="D30" s="328">
        <f>'App_4_Annual Crash Benefits'!$J$10</f>
        <v>5941.0000000000009</v>
      </c>
      <c r="E30" s="328">
        <f>'App_4_Annual Crash Benefits'!$J$11</f>
        <v>1169.0000000000002</v>
      </c>
      <c r="F30" s="328">
        <f>'App_4_Annual Crash Benefits'!$J$12</f>
        <v>0</v>
      </c>
      <c r="G30" s="328">
        <f>'App_4_Annual Crash Benefits'!$J$13</f>
        <v>225</v>
      </c>
      <c r="H30" s="328">
        <f>'App_4_Annual Crash Benefits'!$J$14</f>
        <v>0</v>
      </c>
      <c r="I30" s="47">
        <f t="shared" si="1"/>
        <v>7335.0000000000009</v>
      </c>
      <c r="J30" s="48">
        <f t="shared" si="2"/>
        <v>4783.8637749518612</v>
      </c>
      <c r="P30" s="1"/>
      <c r="Q30" s="1"/>
      <c r="R30" s="1"/>
    </row>
    <row r="31" spans="1:21" x14ac:dyDescent="0.35">
      <c r="A31" s="1">
        <f t="shared" si="3"/>
        <v>2037</v>
      </c>
      <c r="B31" s="46">
        <f t="shared" si="4"/>
        <v>10</v>
      </c>
      <c r="C31" s="328">
        <f>'App_4_Annual Crash Benefits'!$J$9</f>
        <v>0</v>
      </c>
      <c r="D31" s="328">
        <f>'App_4_Annual Crash Benefits'!$J$10</f>
        <v>5941.0000000000009</v>
      </c>
      <c r="E31" s="328">
        <f>'App_4_Annual Crash Benefits'!$J$11</f>
        <v>1169.0000000000002</v>
      </c>
      <c r="F31" s="328">
        <f>'App_4_Annual Crash Benefits'!$J$12</f>
        <v>0</v>
      </c>
      <c r="G31" s="328">
        <f>'App_4_Annual Crash Benefits'!$J$13</f>
        <v>225</v>
      </c>
      <c r="H31" s="328">
        <f>'App_4_Annual Crash Benefits'!$J$14</f>
        <v>0</v>
      </c>
      <c r="I31" s="47">
        <f t="shared" si="1"/>
        <v>7335.0000000000009</v>
      </c>
      <c r="J31" s="48">
        <f t="shared" si="2"/>
        <v>4640.0230600891</v>
      </c>
      <c r="P31" s="1"/>
      <c r="Q31" s="1"/>
      <c r="R31" s="1"/>
    </row>
    <row r="32" spans="1:21" x14ac:dyDescent="0.35">
      <c r="B32" s="50"/>
      <c r="C32" s="51"/>
      <c r="D32" s="51"/>
      <c r="E32" s="51"/>
      <c r="F32" s="51"/>
      <c r="G32" s="52"/>
      <c r="H32" s="52"/>
      <c r="I32" s="52"/>
      <c r="J32" s="53"/>
      <c r="P32" s="1"/>
      <c r="Q32" s="54"/>
      <c r="R32" s="54"/>
      <c r="S32" s="54"/>
      <c r="T32" s="54"/>
      <c r="U32" s="54"/>
    </row>
    <row r="33" spans="2:18" x14ac:dyDescent="0.35">
      <c r="B33" s="56" t="s">
        <v>71</v>
      </c>
      <c r="C33" s="57"/>
      <c r="D33" s="58"/>
      <c r="E33" s="58"/>
      <c r="F33" s="58"/>
      <c r="G33" s="58"/>
      <c r="H33" s="58"/>
      <c r="I33" s="58"/>
      <c r="J33" s="59">
        <f>SUM(J22:J31)</f>
        <v>53438.286980005032</v>
      </c>
      <c r="P33" s="1"/>
      <c r="Q33" s="1"/>
      <c r="R33" s="1"/>
    </row>
    <row r="34" spans="2:18" x14ac:dyDescent="0.35">
      <c r="B34" s="8"/>
      <c r="C34" s="60"/>
      <c r="D34" s="61"/>
      <c r="E34" s="8"/>
      <c r="F34" s="8"/>
      <c r="G34" s="8"/>
      <c r="H34" s="8"/>
      <c r="I34" s="8"/>
      <c r="J34" s="8"/>
      <c r="P34" s="1"/>
      <c r="Q34" s="1"/>
      <c r="R34" s="1"/>
    </row>
    <row r="36" spans="2:18" ht="44.25" customHeight="1" x14ac:dyDescent="0.35">
      <c r="B36" s="498" t="s">
        <v>314</v>
      </c>
      <c r="C36" s="498"/>
      <c r="D36" s="498"/>
      <c r="E36" s="498"/>
      <c r="F36" s="498"/>
      <c r="G36" s="498"/>
      <c r="H36" s="498"/>
      <c r="I36" s="498"/>
      <c r="J36" s="498"/>
      <c r="K36" s="498"/>
      <c r="L36" s="498"/>
    </row>
  </sheetData>
  <mergeCells count="6">
    <mergeCell ref="A20:A21"/>
    <mergeCell ref="B36:L36"/>
    <mergeCell ref="B10:L10"/>
    <mergeCell ref="B8:L8"/>
    <mergeCell ref="B12:L12"/>
    <mergeCell ref="B14:L1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fb07881-f7e8-4dd9-acb7-55d0ad57cf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CE63B67C30F349869D702991379223" ma:contentTypeVersion="16" ma:contentTypeDescription="Create a new document." ma:contentTypeScope="" ma:versionID="5fe4c9a5e70863d6b844dac7fa1c5c8c">
  <xsd:schema xmlns:xsd="http://www.w3.org/2001/XMLSchema" xmlns:xs="http://www.w3.org/2001/XMLSchema" xmlns:p="http://schemas.microsoft.com/office/2006/metadata/properties" xmlns:ns3="8fb07881-f7e8-4dd9-acb7-55d0ad57cf99" xmlns:ns4="5a986d82-c6c0-46c7-a092-086f34e64f15" targetNamespace="http://schemas.microsoft.com/office/2006/metadata/properties" ma:root="true" ma:fieldsID="0e96d5c32bcacfe71ca023470e77101a" ns3:_="" ns4:_="">
    <xsd:import namespace="8fb07881-f7e8-4dd9-acb7-55d0ad57cf99"/>
    <xsd:import namespace="5a986d82-c6c0-46c7-a092-086f34e64f15"/>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AutoTags" minOccurs="0"/>
                <xsd:element ref="ns3:MediaLengthInSeconds"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element ref="ns3:MediaServiceSystemTags"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b07881-f7e8-4dd9-acb7-55d0ad57cf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986d82-c6c0-46c7-a092-086f34e64f1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0749D-AE5A-4C92-BC91-AC0692EEABBE}">
  <ds:schemaRefs>
    <ds:schemaRef ds:uri="http://schemas.microsoft.com/sharepoint/v3/contenttype/forms"/>
  </ds:schemaRefs>
</ds:datastoreItem>
</file>

<file path=customXml/itemProps2.xml><?xml version="1.0" encoding="utf-8"?>
<ds:datastoreItem xmlns:ds="http://schemas.openxmlformats.org/officeDocument/2006/customXml" ds:itemID="{5D253F19-6FEC-4A52-8176-D0D591324594}">
  <ds:schemaRefs>
    <ds:schemaRef ds:uri="http://purl.org/dc/dcmitype/"/>
    <ds:schemaRef ds:uri="5a986d82-c6c0-46c7-a092-086f34e64f15"/>
    <ds:schemaRef ds:uri="http://schemas.openxmlformats.org/package/2006/metadata/core-properties"/>
    <ds:schemaRef ds:uri="http://purl.org/dc/elements/1.1/"/>
    <ds:schemaRef ds:uri="8fb07881-f7e8-4dd9-acb7-55d0ad57cf99"/>
    <ds:schemaRef ds:uri="http://schemas.microsoft.com/office/2006/documentManagement/types"/>
    <ds:schemaRef ds:uri="http://schemas.microsoft.com/office/infopath/2007/PartnerControl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205DB6E-6B3E-4593-80DE-C6DAE5A768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b07881-f7e8-4dd9-acb7-55d0ad57cf99"/>
    <ds:schemaRef ds:uri="5a986d82-c6c0-46c7-a092-086f34e64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63</vt:i4>
      </vt:variant>
    </vt:vector>
  </HeadingPairs>
  <TitlesOfParts>
    <vt:vector size="83" baseType="lpstr">
      <vt:lpstr>Overview</vt:lpstr>
      <vt:lpstr>A. Summary</vt:lpstr>
      <vt:lpstr>B. Final Calculations</vt:lpstr>
      <vt:lpstr>C. Sensitivity</vt:lpstr>
      <vt:lpstr>D. Capital Costs (User Input)</vt:lpstr>
      <vt:lpstr>E. O&amp;M Costs (User Input)</vt:lpstr>
      <vt:lpstr>F.Params&amp;Assumptions(UserInput)</vt:lpstr>
      <vt:lpstr>App1_Crash Summary (User Input)</vt:lpstr>
      <vt:lpstr>1. Safety Benefits</vt:lpstr>
      <vt:lpstr>2. Travel Time Savings_A</vt:lpstr>
      <vt:lpstr>3. Travel Time Savings_B</vt:lpstr>
      <vt:lpstr>4. Environmental Benefits_A</vt:lpstr>
      <vt:lpstr>5. Environmental Benefits_B</vt:lpstr>
      <vt:lpstr>6.Vehicle Operating Cost Saving</vt:lpstr>
      <vt:lpstr>7. State of Good Repair</vt:lpstr>
      <vt:lpstr>App_2_Annual Crash Reduction_A</vt:lpstr>
      <vt:lpstr>App_3_Annual Crash Reduction_B</vt:lpstr>
      <vt:lpstr>App_4_Annual Crash Benefits</vt:lpstr>
      <vt:lpstr>App_5_Emission Factors </vt:lpstr>
      <vt:lpstr>App_6_Parameters look up table</vt:lpstr>
      <vt:lpstr>'C. Sensitivity'!_ftn1</vt:lpstr>
      <vt:lpstr>'C. Sensitivity'!_ftn2</vt:lpstr>
      <vt:lpstr>CO2BenefitDiscountRate</vt:lpstr>
      <vt:lpstr>CO2RuralArt</vt:lpstr>
      <vt:lpstr>CO2RuralI5</vt:lpstr>
      <vt:lpstr>CO2UrbanArt</vt:lpstr>
      <vt:lpstr>CO2UrbanCorridor</vt:lpstr>
      <vt:lpstr>CrashDelayRuralArterFatal</vt:lpstr>
      <vt:lpstr>CrashDelayRuralArterInjury</vt:lpstr>
      <vt:lpstr>CrashDelayRuralArterPDO</vt:lpstr>
      <vt:lpstr>CrashDelayRuralInterFatal</vt:lpstr>
      <vt:lpstr>CrashDelayRuralInterInjury</vt:lpstr>
      <vt:lpstr>CrashDelayRuralInterPDO</vt:lpstr>
      <vt:lpstr>CrashDelayUrbanArterFatal</vt:lpstr>
      <vt:lpstr>CrashDelayUrbanArterInjury</vt:lpstr>
      <vt:lpstr>CrashDelayUrbanArterPDO</vt:lpstr>
      <vt:lpstr>CrashDelayUrbanInterFatal</vt:lpstr>
      <vt:lpstr>CrashDelayUrbanInterInjury</vt:lpstr>
      <vt:lpstr>CrashDelayUrbanInterPDO</vt:lpstr>
      <vt:lpstr>CrashReducFatigueCorridor</vt:lpstr>
      <vt:lpstr>CrashReducFatigueNearby</vt:lpstr>
      <vt:lpstr>CrashReducIllegalCorridor</vt:lpstr>
      <vt:lpstr>CrashReducIllegalNearby</vt:lpstr>
      <vt:lpstr>CurrentDollarYear</vt:lpstr>
      <vt:lpstr>Gram_Ton</vt:lpstr>
      <vt:lpstr>HeavyDemandDays</vt:lpstr>
      <vt:lpstr>HourSavedPerSpace</vt:lpstr>
      <vt:lpstr>HourSavingPerSpace</vt:lpstr>
      <vt:lpstr>InflationAdjustmentMultiplier</vt:lpstr>
      <vt:lpstr>Metric_Ton</vt:lpstr>
      <vt:lpstr>MileSavedPerSpace</vt:lpstr>
      <vt:lpstr>NOXRuralArt</vt:lpstr>
      <vt:lpstr>NOXRuralCorridor</vt:lpstr>
      <vt:lpstr>NOXUrbanArt</vt:lpstr>
      <vt:lpstr>NOXUrbanCorridor</vt:lpstr>
      <vt:lpstr>ParkingDemandGrowthRate</vt:lpstr>
      <vt:lpstr>PavementDamagePerTonMile</vt:lpstr>
      <vt:lpstr>PeakPeriods</vt:lpstr>
      <vt:lpstr>PM25RuralArt</vt:lpstr>
      <vt:lpstr>PM25RuralCorridor</vt:lpstr>
      <vt:lpstr>PM25UrbanArt</vt:lpstr>
      <vt:lpstr>PM25UrbanCorridor</vt:lpstr>
      <vt:lpstr>RealDiscountRate</vt:lpstr>
      <vt:lpstr>SO2RuralArt</vt:lpstr>
      <vt:lpstr>SO2RuralCorridor</vt:lpstr>
      <vt:lpstr>SO2UrbanArt</vt:lpstr>
      <vt:lpstr>SO2UrbanCorridor</vt:lpstr>
      <vt:lpstr>SpacesRural</vt:lpstr>
      <vt:lpstr>SpacesUrbanCorridor</vt:lpstr>
      <vt:lpstr>Test</vt:lpstr>
      <vt:lpstr>TimeSavingPerSpace</vt:lpstr>
      <vt:lpstr>TimeValueGeneral</vt:lpstr>
      <vt:lpstr>TimeValueTruck</vt:lpstr>
      <vt:lpstr>UtilizationCorridor</vt:lpstr>
      <vt:lpstr>Value_A</vt:lpstr>
      <vt:lpstr>Value_B</vt:lpstr>
      <vt:lpstr>Value_C</vt:lpstr>
      <vt:lpstr>Value_K</vt:lpstr>
      <vt:lpstr>Value_O</vt:lpstr>
      <vt:lpstr>Value_U</vt:lpstr>
      <vt:lpstr>Value_U1</vt:lpstr>
      <vt:lpstr>VehilceOperatingCostPerMile</vt:lpstr>
      <vt:lpstr>VOR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Shuake Wuzhati</dc:creator>
  <cp:keywords/>
  <dc:description/>
  <cp:lastModifiedBy>ARC</cp:lastModifiedBy>
  <cp:revision/>
  <dcterms:created xsi:type="dcterms:W3CDTF">2023-03-06T17:26:47Z</dcterms:created>
  <dcterms:modified xsi:type="dcterms:W3CDTF">2024-10-09T15:29:38Z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ProjectNumber">
    <vt:lpwstr/>
  </property>
  <property fmtid="{D5CDD505-2E9C-101B-9397-08002B2CF9AE}" pid="3" name="Region">
    <vt:lpwstr>1;#TO BE CATEGORIZED|fa974484-cc71-40a1-9178-ed42860802cb</vt:lpwstr>
  </property>
  <property fmtid="{D5CDD505-2E9C-101B-9397-08002B2CF9AE}" pid="4" name="MediaServiceImageTags">
    <vt:lpwstr/>
  </property>
  <property fmtid="{D5CDD505-2E9C-101B-9397-08002B2CF9AE}" pid="5" name="ContentTypeId">
    <vt:lpwstr>0x0101003BCE63B67C30F349869D702991379223</vt:lpwstr>
  </property>
  <property fmtid="{D5CDD505-2E9C-101B-9397-08002B2CF9AE}" pid="6" name="MotherTongue">
    <vt:lpwstr/>
  </property>
  <property fmtid="{D5CDD505-2E9C-101B-9397-08002B2CF9AE}" pid="7" name="WorkingLang">
    <vt:lpwstr>2;#TO BE CATEGORIZED|2a54ffb6-f39f-44aa-8aea-7b6bc69ca097</vt:lpwstr>
  </property>
  <property fmtid="{D5CDD505-2E9C-101B-9397-08002B2CF9AE}" pid="8" name="DocTags">
    <vt:lpwstr/>
  </property>
  <property fmtid="{D5CDD505-2E9C-101B-9397-08002B2CF9AE}" pid="9" name="DBMarketing">
    <vt:lpwstr/>
  </property>
  <property fmtid="{D5CDD505-2E9C-101B-9397-08002B2CF9AE}" pid="10" name="CVLang">
    <vt:lpwstr>4;#TO BE CATEGORIZED|827bcf94-8b65-467e-9315-9e8b533326d8</vt:lpwstr>
  </property>
  <property fmtid="{D5CDD505-2E9C-101B-9397-08002B2CF9AE}" pid="11" name="PDSType">
    <vt:lpwstr>8;#TO BE CATEGORIZED|25a3a8a9-b0df-45fc-83bb-ccb348de6042</vt:lpwstr>
  </property>
  <property fmtid="{D5CDD505-2E9C-101B-9397-08002B2CF9AE}" pid="12" name="ExtName">
    <vt:lpwstr/>
  </property>
  <property fmtid="{D5CDD505-2E9C-101B-9397-08002B2CF9AE}" pid="13" name="CVType">
    <vt:lpwstr>3;#TO BE CATEGORIZED|04f15682-9c26-4756-a1ef-531e8e30344e</vt:lpwstr>
  </property>
  <property fmtid="{D5CDD505-2E9C-101B-9397-08002B2CF9AE}" pid="14" name="CountryOfRes">
    <vt:lpwstr/>
  </property>
  <property fmtid="{D5CDD505-2E9C-101B-9397-08002B2CF9AE}" pid="15" name="Client">
    <vt:lpwstr>10;#TO BE CATEGORIZED|01844183-e9ec-42f7-98c6-4d0fec1be2d7</vt:lpwstr>
  </property>
  <property fmtid="{D5CDD505-2E9C-101B-9397-08002B2CF9AE}" pid="16" name="Sector">
    <vt:lpwstr/>
  </property>
  <property fmtid="{D5CDD505-2E9C-101B-9397-08002B2CF9AE}" pid="17" name="Project Country">
    <vt:lpwstr>5;#United States|6e345a2b-9af2-4d92-9d16-d9186e4dc2f9</vt:lpwstr>
  </property>
  <property fmtid="{D5CDD505-2E9C-101B-9397-08002B2CF9AE}" pid="18" name="Firm">
    <vt:lpwstr/>
  </property>
  <property fmtid="{D5CDD505-2E9C-101B-9397-08002B2CF9AE}" pid="19" name="CatProjectExec">
    <vt:lpwstr>15;#Not Categorized|aec695db-c7dc-4893-80ea-1663158b5950</vt:lpwstr>
  </property>
  <property fmtid="{D5CDD505-2E9C-101B-9397-08002B2CF9AE}" pid="20" name="Service1">
    <vt:lpwstr/>
  </property>
  <property fmtid="{D5CDD505-2E9C-101B-9397-08002B2CF9AE}" pid="21" name="RefProjectCountry">
    <vt:lpwstr/>
  </property>
  <property fmtid="{D5CDD505-2E9C-101B-9397-08002B2CF9AE}" pid="22" name="Project Number">
    <vt:lpwstr>27;#21063|21cdb056-33b9-4216-a4f9-ab3c6d26b6ca</vt:lpwstr>
  </property>
  <property fmtid="{D5CDD505-2E9C-101B-9397-08002B2CF9AE}" pid="23" name="Citizenship">
    <vt:lpwstr/>
  </property>
  <property fmtid="{D5CDD505-2E9C-101B-9397-08002B2CF9AE}" pid="24" name="PDSLang">
    <vt:lpwstr>7;#TO BE CATEGORIZED|e7544c95-c561-4eb2-b7a2-3e0bc98999d9</vt:lpwstr>
  </property>
  <property fmtid="{D5CDD505-2E9C-101B-9397-08002B2CF9AE}" pid="25" name="CPCSCompany">
    <vt:lpwstr>9;#TO BE CATEGORIZED|cdce31c6-c725-4981-bb1e-5f0ebf2b2dcc</vt:lpwstr>
  </property>
  <property fmtid="{D5CDD505-2E9C-101B-9397-08002B2CF9AE}" pid="26" name="n9c9ae59b6a14df7901347dc15a4e0b9">
    <vt:lpwstr>TO BE CATEGORIZED|cdce31c6-c725-4981-bb1e-5f0ebf2b2dcc</vt:lpwstr>
  </property>
  <property fmtid="{D5CDD505-2E9C-101B-9397-08002B2CF9AE}" pid="27" name="j1f96f7400924d1caf41c503f78eace4">
    <vt:lpwstr>TO BE CATEGORIZED|04f15682-9c26-4756-a1ef-531e8e30344e</vt:lpwstr>
  </property>
  <property fmtid="{D5CDD505-2E9C-101B-9397-08002B2CF9AE}" pid="28" name="o7e24f835e9e4e7e95609271bddd5c4c">
    <vt:lpwstr>TO BE CATEGORIZED|827bcf94-8b65-467e-9315-9e8b533326d8</vt:lpwstr>
  </property>
  <property fmtid="{D5CDD505-2E9C-101B-9397-08002B2CF9AE}" pid="29" name="b02c75d376014bffb31f5a6958559b9f">
    <vt:lpwstr>TO BE CATEGORIZED|e7544c95-c561-4eb2-b7a2-3e0bc98999d9</vt:lpwstr>
  </property>
  <property fmtid="{D5CDD505-2E9C-101B-9397-08002B2CF9AE}" pid="30" name="l76fdf32ceb04bf7b8fde21285a58574">
    <vt:lpwstr>TO BE CATEGORIZED|fa974484-cc71-40a1-9178-ed42860802cb</vt:lpwstr>
  </property>
  <property fmtid="{D5CDD505-2E9C-101B-9397-08002B2CF9AE}" pid="31" name="Project_x0020_Country">
    <vt:lpwstr>5;#United States|6e345a2b-9af2-4d92-9d16-d9186e4dc2f9</vt:lpwstr>
  </property>
  <property fmtid="{D5CDD505-2E9C-101B-9397-08002B2CF9AE}" pid="32" name="e58a4433db23458da80d2ab776549a5d">
    <vt:lpwstr>TO BE CATEGORIZED|2a54ffb6-f39f-44aa-8aea-7b6bc69ca097</vt:lpwstr>
  </property>
  <property fmtid="{D5CDD505-2E9C-101B-9397-08002B2CF9AE}" pid="33" name="hd04fa20a99f471cbc90f20fa3cf7ddd">
    <vt:lpwstr>TO BE CATEGORIZED|01844183-e9ec-42f7-98c6-4d0fec1be2d7</vt:lpwstr>
  </property>
  <property fmtid="{D5CDD505-2E9C-101B-9397-08002B2CF9AE}" pid="34" name="Project_x0020_Number">
    <vt:lpwstr>27;#21063|21cdb056-33b9-4216-a4f9-ab3c6d26b6ca</vt:lpwstr>
  </property>
  <property fmtid="{D5CDD505-2E9C-101B-9397-08002B2CF9AE}" pid="35" name="k15b9b29634e4dffbf9001a90e9d46c4">
    <vt:lpwstr>Not Categorized|aec695db-c7dc-4893-80ea-1663158b5950</vt:lpwstr>
  </property>
  <property fmtid="{D5CDD505-2E9C-101B-9397-08002B2CF9AE}" pid="36" name="p2e8e83a30c84a09a82cac19b5f0463f">
    <vt:lpwstr>TO BE CATEGORIZED|25a3a8a9-b0df-45fc-83bb-ccb348de6042</vt:lpwstr>
  </property>
</Properties>
</file>